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FCSwjiFcL40m/U4jbSIf/oDH/WlViCRfuRrEe2HMbjKgO0n8xhCp80zAJmAVB0mkVBosrs85/f5q6hPXXtCRaA==" workbookSaltValue="RwvZZ2hwkgJtdr0LVQdv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K21" i="8" s="1"/>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F16" i="8" s="1"/>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BD11" i="13"/>
  <c r="AN21" i="13"/>
  <c r="D20" i="12"/>
  <c r="ER21" i="8"/>
  <c r="N19" i="11"/>
  <c r="AE14" i="21"/>
  <c r="EL21" i="8"/>
  <c r="EQ21" i="8"/>
  <c r="EN21" i="8"/>
  <c r="K20" i="11"/>
  <c r="BA14" i="16"/>
  <c r="N10" i="11"/>
  <c r="N9" i="11"/>
  <c r="ES21" i="8"/>
  <c r="G20" i="12"/>
  <c r="AQ19" i="11"/>
  <c r="R8" i="9"/>
  <c r="BH11" i="16" s="1"/>
  <c r="EP21" i="8"/>
  <c r="ER21" i="13"/>
  <c r="AL14" i="16"/>
  <c r="EP21" i="19"/>
  <c r="T9" i="11"/>
  <c r="BH19" i="16"/>
  <c r="BL12" i="11"/>
  <c r="S14" i="16"/>
  <c r="P14" i="16"/>
  <c r="Z14" i="17"/>
  <c r="F18" i="17"/>
  <c r="AQ18" i="17" s="1"/>
  <c r="K20" i="2"/>
  <c r="M14" i="2"/>
  <c r="N14" i="2"/>
  <c r="F14" i="7"/>
  <c r="T14" i="12"/>
  <c r="BH9" i="11"/>
  <c r="BH13" i="11"/>
  <c r="BW19" i="20"/>
  <c r="BU9" i="17"/>
  <c r="T14" i="16"/>
  <c r="BF12" i="11"/>
  <c r="BH11" i="11"/>
  <c r="BH12" i="16"/>
  <c r="AY20" i="8"/>
  <c r="BD9" i="8"/>
  <c r="S16" i="17"/>
  <c r="E14" i="17"/>
  <c r="AH14" i="16"/>
  <c r="L19" i="2"/>
  <c r="T14" i="20"/>
  <c r="T20" i="17"/>
  <c r="BG16" i="13"/>
  <c r="BB20" i="13"/>
  <c r="BE17" i="13"/>
  <c r="BF17" i="13"/>
  <c r="K22" i="20"/>
  <c r="Y22" i="20"/>
  <c r="AC22" i="20"/>
  <c r="AA22" i="20"/>
  <c r="U12" i="11"/>
  <c r="AQ22" i="21"/>
  <c r="U17" i="11"/>
  <c r="AQ22" i="20"/>
  <c r="G14" i="14"/>
  <c r="W22" i="20"/>
  <c r="L22" i="20"/>
  <c r="N22" i="20"/>
  <c r="U10" i="11"/>
  <c r="W22" i="21"/>
  <c r="AF22" i="20"/>
  <c r="U18" i="11"/>
  <c r="AL22" i="20"/>
  <c r="AE22" i="20"/>
  <c r="AG22" i="20"/>
  <c r="M22" i="20"/>
  <c r="AE21" i="8" l="1"/>
  <c r="F11" i="16"/>
  <c r="BL11" i="16" s="1"/>
  <c r="BA14" i="8"/>
  <c r="BG10" i="8"/>
  <c r="K10" i="7" s="1"/>
  <c r="AY14" i="8"/>
  <c r="BE9" i="8"/>
  <c r="R21" i="8"/>
  <c r="F13" i="2"/>
  <c r="B19" i="6"/>
  <c r="H12" i="2"/>
  <c r="M20" i="2"/>
  <c r="N20" i="2"/>
  <c r="AL16" i="11"/>
  <c r="BD16" i="13"/>
  <c r="V9" i="16"/>
  <c r="L9" i="2"/>
  <c r="X19" i="16"/>
  <c r="S18" i="17"/>
  <c r="BJ10" i="11"/>
  <c r="AZ11" i="11"/>
  <c r="S11" i="17"/>
  <c r="BV12" i="16"/>
  <c r="AZ9" i="11"/>
  <c r="AZ21" i="11" s="1"/>
  <c r="R10" i="21"/>
  <c r="R14" i="21" s="1"/>
  <c r="BK11" i="11"/>
  <c r="BK12" i="11"/>
  <c r="BF13" i="11"/>
  <c r="BE16" i="13"/>
  <c r="BF16" i="13"/>
  <c r="U9" i="17"/>
  <c r="U21" i="17" s="1"/>
  <c r="L18" i="2"/>
  <c r="L12" i="2"/>
  <c r="BK10" i="11"/>
  <c r="BM9" i="11"/>
  <c r="BG17" i="11"/>
  <c r="BK17" i="11"/>
  <c r="BL10" i="1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Q20" i="17" s="1"/>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AZ22" i="20"/>
  <c r="AX22" i="20"/>
  <c r="G20" i="14"/>
  <c r="O10" i="11"/>
  <c r="X22" i="20"/>
  <c r="AN22" i="20"/>
  <c r="T22" i="20"/>
  <c r="AD22" i="20"/>
  <c r="AP22" i="20"/>
  <c r="AI22" i="20"/>
  <c r="Q22" i="20"/>
  <c r="T22" i="21"/>
  <c r="O18" i="11"/>
  <c r="H22" i="20"/>
  <c r="K9" i="12" l="1"/>
  <c r="K17" i="12"/>
  <c r="I12" i="12"/>
  <c r="BK14" i="1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S22" i="20"/>
  <c r="AV22" i="21"/>
  <c r="J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V21" i="16" l="1"/>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<sst xmlns="http://schemas.openxmlformats.org/spreadsheetml/2006/main" count="2215" uniqueCount="979">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</sst>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1pyPqjppEWOia+k8ls6s4vYNB1zth9K1bb2uYG1QJa91vR+6JjLyst9OTmOOwHHZCjtUvr7G3a9Ccp1cnWW9A==" saltValue="g+PYDzGM1lgzisWdG7Qi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14</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27.66876762315475</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224</v>
      </c>
      <c r="D10" s="230">
        <f>IF(ISNUMBER(Datos!I10),Datos!I10," - ")</f>
        <v>224</v>
      </c>
      <c r="E10" s="231">
        <f>IF(ISNUMBER(Datos!J10),Datos!J10," - ")</f>
        <v>96</v>
      </c>
      <c r="F10" s="231">
        <f>IF(ISNUMBER(Datos!K10),Datos!K10," - ")</f>
        <v>96</v>
      </c>
      <c r="G10" s="1193" t="str">
        <f>IF(Datos!E10&lt;&gt;"",Datos!E10,Datos!D10)</f>
        <v>37</v>
      </c>
      <c r="H10" s="232">
        <f>IF(ISNUMBER(Datos!L10),Datos!L10," - ")</f>
        <v>224</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25.666666666666668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3</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18.61086375779163</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224</v>
      </c>
      <c r="D14" s="1210">
        <f>SUBTOTAL(9,D9:D13)</f>
        <v>224</v>
      </c>
      <c r="E14" s="1211">
        <f>SUBTOTAL(9,E9:E13)</f>
        <v>96</v>
      </c>
      <c r="F14" s="1212">
        <f>SUBTOTAL(9,F9:F13)</f>
        <v>96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8</v>
      </c>
      <c r="B16" s="1258" t="str">
        <f>Datos!A16</f>
        <v xml:space="preserve">Jdos. Instrucción                               </v>
      </c>
      <c r="C16" s="230">
        <f t="shared" ref="C16:C19" si="2">IF(ISNUMBER(H16-E16+F16),H16-E16+F16," - ")</f>
        <v>3639</v>
      </c>
      <c r="D16" s="230">
        <f>IF(ISNUMBER(IF(D_I="SI",Datos!I16,Datos!I16+Datos!AC16)),IF(D_I="SI",Datos!I16,Datos!I16+Datos!AC16)," - ")</f>
        <v>3497</v>
      </c>
      <c r="E16" s="231">
        <f>IF(ISNUMBER(IF(D_I="SI",Datos!J16,Datos!J16+Datos!AD16)),IF(D_I="SI",Datos!J16,Datos!J16+Datos!AD16)," - ")</f>
        <v>8497</v>
      </c>
      <c r="F16" s="231">
        <f>IF(ISNUMBER(IF(D_I="SI",Datos!K16,Datos!K16+Datos!AE16)),IF(D_I="SI",Datos!K16,Datos!K16+Datos!AE16)," - ")</f>
        <v>7678</v>
      </c>
      <c r="G16" s="1193" t="str">
        <f>IF(Datos!E16&lt;&gt;"",Datos!E16,Datos!D16)</f>
        <v>03</v>
      </c>
      <c r="H16" s="232">
        <f>IF(ISNUMBER(IF(D_I="SI",Datos!L16,Datos!L16+Datos!AF16)),IF(D_I="SI",Datos!L16,Datos!L16+Datos!AF16)," - ")</f>
        <v>4458</v>
      </c>
      <c r="I16" s="1203" t="str">
        <f>IF(ISNUMBER(Datos!AS16/Datos!BM16),Datos!AS16/Datos!BM16," - ")</f>
        <v xml:space="preserve"> - </v>
      </c>
      <c r="J16" s="1204">
        <f>IF(ISNUMBER(Datos!BY16/Datos!CN16),Datos!BY16/Datos!CN16," - ")</f>
        <v>0</v>
      </c>
      <c r="K16" s="235">
        <f t="shared" ref="K16:K19" si="3">IF(ISNUMBER((E16-F16)/C16),(E16-F16)/C16," - ")</f>
        <v>0.22506183017312448</v>
      </c>
      <c r="L16" s="1205">
        <f>IF(ISNUMBER(NºAsuntos!I16/NºAsuntos!G16),(NºAsuntos!I16/NºAsuntos!G16)*11," - ")</f>
        <v>6.3868194842406876</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465</v>
      </c>
      <c r="D18" s="230">
        <f>IF(ISNUMBER(IF(D_I="SI",Datos!I18,Datos!I18+Datos!AC18)),IF(D_I="SI",Datos!I18,Datos!I18+Datos!AC18)," - ")</f>
        <v>457</v>
      </c>
      <c r="E18" s="231">
        <f>IF(ISNUMBER(IF(D_I="SI",Datos!J18,Datos!J18+Datos!AD18)),IF(D_I="SI",Datos!J18,Datos!J18+Datos!AD18)," - ")</f>
        <v>857</v>
      </c>
      <c r="F18" s="231">
        <f>IF(ISNUMBER(IF(D_I="SI",Datos!K18,Datos!K18+Datos!AE18)),IF(D_I="SI",Datos!K18,Datos!K18+Datos!AE18)," - ")</f>
        <v>928</v>
      </c>
      <c r="G18" s="1193" t="str">
        <f>IF(Datos!E18&lt;&gt;"",Datos!E18,Datos!D18)</f>
        <v>37</v>
      </c>
      <c r="H18" s="232">
        <f>IF(ISNUMBER(IF(D_I="SI",Datos!L18,Datos!L18+Datos!AF18)),IF(D_I="SI",Datos!L18,Datos!L18+Datos!AF18)," - ")</f>
        <v>394</v>
      </c>
      <c r="I18" s="1203" t="str">
        <f>IF(ISNUMBER(Datos!AS18/Datos!BM18),Datos!AS18/Datos!BM18," - ")</f>
        <v xml:space="preserve"> - </v>
      </c>
      <c r="J18" s="1204" t="str">
        <f>IF(ISNUMBER((Datos!BY18+Datos!BZ18)/Datos!CN18),(Datos!BY18+Datos!BZ18)/Datos!CN18," - ")</f>
        <v xml:space="preserve"> - </v>
      </c>
      <c r="K18" s="235">
        <f t="shared" si="3"/>
        <v>-0.15268817204301074</v>
      </c>
      <c r="L18" s="1205">
        <f>IF(ISNUMBER(NºAsuntos!I18/NºAsuntos!G18),(NºAsuntos!I18/NºAsuntos!G18)*11," - ")</f>
        <v>4.6702586206896548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4104</v>
      </c>
      <c r="D20" s="1210">
        <f>SUBTOTAL(9,D16:D19)</f>
        <v>3954</v>
      </c>
      <c r="E20" s="1211">
        <f>SUBTOTAL(9,E16:E19)</f>
        <v>9354</v>
      </c>
      <c r="F20" s="1211">
        <f>SUBTOTAL(9,F16:F19)</f>
        <v>8606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4328</v>
      </c>
      <c r="D21" s="1232">
        <f>SUBTOTAL(9,D9:D20)</f>
        <v>4178</v>
      </c>
      <c r="E21" s="1233">
        <f>SUBTOTAL(9,E9:E20)</f>
        <v>9450</v>
      </c>
      <c r="F21" s="1233">
        <f>SUBTOTAL(9,F9:F20)</f>
        <v>8702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jpL+54FeFoyLJjY25ecC+EgautD5Xu9cGKZQiy8RU5U49w2crYu7LWag8Of/Qs6g97zvQ96idSm/F1oDyDwCw==" saltValue="+LteJ8eHslIXeWnQAfVe/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Ov8RHUeXggzohvqEKA6IbMqmwW3P3rE+uZ1w16GOxZSWamvrvrvyYxPud35LJydYW4sZ+AGTPN/kfEMmaqcdVA==" saltValue="dySf8ayuGVRHF9woKUz4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12621</v>
      </c>
      <c r="J9" s="186">
        <v>8253</v>
      </c>
      <c r="K9" s="186">
        <v>5880</v>
      </c>
      <c r="L9" s="186">
        <v>14854</v>
      </c>
      <c r="M9" s="186">
        <v>1258</v>
      </c>
      <c r="N9" s="186">
        <v>3308</v>
      </c>
      <c r="O9" s="186">
        <v>1894</v>
      </c>
      <c r="P9" s="186">
        <v>1693</v>
      </c>
      <c r="Q9" s="186">
        <v>1163</v>
      </c>
      <c r="R9" s="186">
        <v>22047</v>
      </c>
      <c r="S9" s="186">
        <v>9572</v>
      </c>
      <c r="T9" s="186">
        <v>8489</v>
      </c>
      <c r="U9" s="186">
        <v>7504</v>
      </c>
      <c r="V9" s="186">
        <v>10538</v>
      </c>
      <c r="W9" s="186">
        <v>1523</v>
      </c>
      <c r="X9" s="193">
        <v>3804</v>
      </c>
      <c r="Y9" s="196">
        <v>263</v>
      </c>
      <c r="Z9" s="186">
        <v>188</v>
      </c>
      <c r="AA9" s="186">
        <v>149</v>
      </c>
      <c r="AB9" s="186">
        <v>311</v>
      </c>
      <c r="AC9" s="186">
        <v>0</v>
      </c>
      <c r="AD9" s="186">
        <v>0</v>
      </c>
      <c r="AE9" s="186">
        <v>0</v>
      </c>
      <c r="AF9" s="193">
        <v>0</v>
      </c>
      <c r="AG9" s="196">
        <v>220</v>
      </c>
      <c r="AH9" s="186">
        <v>266</v>
      </c>
      <c r="AI9" s="186">
        <v>235</v>
      </c>
      <c r="AJ9" s="197">
        <v>255</v>
      </c>
      <c r="AK9" s="185">
        <v>0</v>
      </c>
      <c r="AL9" s="186">
        <v>0</v>
      </c>
      <c r="AM9" s="186">
        <v>0</v>
      </c>
      <c r="AN9" s="193">
        <v>0</v>
      </c>
      <c r="AO9" s="263">
        <v>14</v>
      </c>
      <c r="AP9" s="159">
        <v>14</v>
      </c>
      <c r="AQ9" s="159">
        <v>14</v>
      </c>
      <c r="AR9" s="198">
        <v>14</v>
      </c>
      <c r="AS9" s="348" t="s">
        <v>871</v>
      </c>
      <c r="AT9" s="200"/>
      <c r="AU9" s="199"/>
      <c r="AV9" s="200"/>
      <c r="AW9" s="199"/>
      <c r="AX9" s="200"/>
      <c r="AY9" s="125">
        <f>IF(ISNUMBER(IF(J_V="SI",S9,S9+AG9)),IF(J_V="SI",S9,S9+AG9)," - ")</f>
        <v>9792</v>
      </c>
      <c r="AZ9" s="125">
        <f>IF(ISNUMBER(IF(J_V="SI",T9,T9+AH9)),IF(J_V="SI",T9,T9+AH9)," - ")</f>
        <v>8755</v>
      </c>
      <c r="BA9" s="126">
        <f>IF(ISNUMBER(IF(J_V="SI",U9,U9+AI9)),IF(J_V="SI",U9,U9+AI9)," - ")</f>
        <v>7739</v>
      </c>
      <c r="BB9" s="126">
        <f>IF(ISNUMBER(IF(J_V="SI",V9,V9+AJ9)),IF(J_V="SI",V9,V9+AJ9)," - ")</f>
        <v>10793</v>
      </c>
      <c r="BC9" s="127">
        <f>IF(ISNUMBER(X9),X9," - ")</f>
        <v>3804</v>
      </c>
      <c r="BD9" s="128">
        <f>IF(ISNUMBER(BA9/AZ9),BA9/AZ9," - ")</f>
        <v>0.8839520274129069</v>
      </c>
      <c r="BE9" s="129">
        <f>IF(ISNUMBER(BB9/BA9),BB9/BA9, " - ")</f>
        <v>1.3946246285049748</v>
      </c>
      <c r="BF9" s="129">
        <f>IF(ISNUMBER(BC9/BA9),BC9/BA9, " - ")</f>
        <v>0.49153637420855406</v>
      </c>
      <c r="BG9" s="201">
        <f>IF(ISNUMBER((AY9+AZ9)/BA9),(AY9+AZ9)/BA9," - ")</f>
        <v>2.3965628634190463</v>
      </c>
      <c r="BH9" s="159">
        <v>14</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224</v>
      </c>
      <c r="J10" s="186">
        <v>96</v>
      </c>
      <c r="K10" s="186">
        <v>96</v>
      </c>
      <c r="L10" s="186">
        <v>224</v>
      </c>
      <c r="M10" s="186">
        <v>27</v>
      </c>
      <c r="N10" s="186">
        <v>37</v>
      </c>
      <c r="O10" s="186">
        <v>13</v>
      </c>
      <c r="P10" s="186">
        <v>17</v>
      </c>
      <c r="Q10" s="186">
        <v>8</v>
      </c>
      <c r="R10" s="186">
        <v>161</v>
      </c>
      <c r="S10" s="186">
        <v>152</v>
      </c>
      <c r="T10" s="186">
        <v>88</v>
      </c>
      <c r="U10" s="186">
        <v>54</v>
      </c>
      <c r="V10" s="186">
        <v>196</v>
      </c>
      <c r="W10" s="186">
        <v>23</v>
      </c>
      <c r="X10" s="193">
        <v>30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2</v>
      </c>
      <c r="AQ10" s="159">
        <v>2</v>
      </c>
      <c r="AR10" s="160">
        <v>2</v>
      </c>
      <c r="AS10" s="349" t="s">
        <v>865</v>
      </c>
      <c r="AT10" s="197"/>
      <c r="AU10" s="205"/>
      <c r="AV10" s="197"/>
      <c r="AW10" s="205"/>
      <c r="AX10" s="197"/>
      <c r="AY10" s="130">
        <f t="shared" ref="AY10:BC10" si="0">IF(ISNUMBER(S10),S10," - ")</f>
        <v>152</v>
      </c>
      <c r="AZ10" s="131">
        <f t="shared" si="0"/>
        <v>88</v>
      </c>
      <c r="BA10" s="131">
        <f t="shared" si="0"/>
        <v>54</v>
      </c>
      <c r="BB10" s="131">
        <f t="shared" si="0"/>
        <v>196</v>
      </c>
      <c r="BC10" s="127">
        <f t="shared" si="0"/>
        <v>23</v>
      </c>
      <c r="BD10" s="128">
        <f>IF(ISNUMBER(BA10/AZ10),BA10/AZ10," - ")</f>
        <v>0.61363636363636365</v>
      </c>
      <c r="BE10" s="129">
        <f>IF(ISNUMBER(BB10/BA10),BB10/BA10, " - ")</f>
        <v>3.6296296296296298</v>
      </c>
      <c r="BF10" s="129">
        <f>IF(ISNUMBER(BC10/BA10),BC10/BA10, " - ")</f>
        <v>0.42592592592592593</v>
      </c>
      <c r="BG10" s="201">
        <f>IF(ISNUMBER((AY10+AZ10)/BA10),(AY10+AZ10)/BA10," - ")</f>
        <v>4.4444444444444446</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1102</v>
      </c>
      <c r="J11" s="188">
        <v>877</v>
      </c>
      <c r="K11" s="188">
        <v>588</v>
      </c>
      <c r="L11" s="188">
        <v>1391</v>
      </c>
      <c r="M11" s="188">
        <v>195</v>
      </c>
      <c r="N11" s="188">
        <v>657</v>
      </c>
      <c r="O11" s="186">
        <v>282</v>
      </c>
      <c r="P11" s="188">
        <v>53</v>
      </c>
      <c r="Q11" s="188">
        <v>33</v>
      </c>
      <c r="R11" s="188">
        <v>1269</v>
      </c>
      <c r="S11" s="188">
        <v>1064</v>
      </c>
      <c r="T11" s="188">
        <v>1050</v>
      </c>
      <c r="U11" s="188">
        <v>1022</v>
      </c>
      <c r="V11" s="188">
        <v>1125</v>
      </c>
      <c r="W11" s="188">
        <v>401</v>
      </c>
      <c r="X11" s="194">
        <v>813</v>
      </c>
      <c r="Y11" s="196">
        <v>314</v>
      </c>
      <c r="Z11" s="186">
        <v>730</v>
      </c>
      <c r="AA11" s="186">
        <v>535</v>
      </c>
      <c r="AB11" s="186">
        <v>509</v>
      </c>
      <c r="AC11" s="188">
        <v>0</v>
      </c>
      <c r="AD11" s="188">
        <v>0</v>
      </c>
      <c r="AE11" s="188">
        <v>0</v>
      </c>
      <c r="AF11" s="194">
        <v>0</v>
      </c>
      <c r="AG11" s="207">
        <v>282</v>
      </c>
      <c r="AH11" s="188">
        <v>659</v>
      </c>
      <c r="AI11" s="188">
        <v>582</v>
      </c>
      <c r="AJ11" s="208">
        <v>305</v>
      </c>
      <c r="AK11" s="187">
        <v>0</v>
      </c>
      <c r="AL11" s="188">
        <v>0</v>
      </c>
      <c r="AM11" s="188">
        <v>0</v>
      </c>
      <c r="AN11" s="194">
        <v>0</v>
      </c>
      <c r="AO11" s="264">
        <v>3</v>
      </c>
      <c r="AP11" s="160">
        <v>3</v>
      </c>
      <c r="AQ11" s="160">
        <v>3</v>
      </c>
      <c r="AR11" s="159">
        <v>3</v>
      </c>
      <c r="AS11" s="350" t="s">
        <v>873</v>
      </c>
      <c r="AT11" s="208"/>
      <c r="AU11" s="207"/>
      <c r="AV11" s="208"/>
      <c r="AW11" s="207"/>
      <c r="AX11" s="208"/>
      <c r="AY11" s="128">
        <f t="shared" ref="AY11:BB12" si="1">IF(ISNUMBER(IF(J_V="SI",S11,S11+AG11)),IF(J_V="SI",S11,S11+AG11)," - ")</f>
        <v>1346</v>
      </c>
      <c r="AZ11" s="129">
        <f t="shared" si="1"/>
        <v>1709</v>
      </c>
      <c r="BA11" s="129">
        <f t="shared" si="1"/>
        <v>1604</v>
      </c>
      <c r="BB11" s="129">
        <f t="shared" si="1"/>
        <v>1430</v>
      </c>
      <c r="BC11" s="127">
        <f>IF(ISNUMBER(X11),X11," - ")</f>
        <v>813</v>
      </c>
      <c r="BD11" s="128">
        <f t="shared" ref="BD11:BD13" si="2">IF(ISNUMBER(BA11/AZ11),BA11/AZ11," - ")</f>
        <v>0.93856056173200697</v>
      </c>
      <c r="BE11" s="129">
        <f t="shared" ref="BE11:BE13" si="3">IF(ISNUMBER(BB11/BA11),BB11/BA11, " - ")</f>
        <v>0.89152119700748134</v>
      </c>
      <c r="BF11" s="129">
        <f t="shared" ref="BF11:BF13" si="4">IF(ISNUMBER(BC11/BA11),BC11/BA11, " - ")</f>
        <v>0.506857855361596</v>
      </c>
      <c r="BG11" s="201">
        <f t="shared" ref="BG11:BG13" si="5">IF(ISNUMBER((AY11+AZ11)/BA11),(AY11+AZ11)/BA11," - ")</f>
        <v>1.9046134663341645</v>
      </c>
      <c r="BH11" s="160">
        <v>3</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13947</v>
      </c>
      <c r="J14" s="189">
        <f t="shared" si="7"/>
        <v>9226</v>
      </c>
      <c r="K14" s="189">
        <f t="shared" si="7"/>
        <v>6564</v>
      </c>
      <c r="L14" s="189">
        <f t="shared" si="7"/>
        <v>16469</v>
      </c>
      <c r="M14" s="189">
        <f t="shared" si="7"/>
        <v>1480</v>
      </c>
      <c r="N14" s="189">
        <f t="shared" si="7"/>
        <v>4002</v>
      </c>
      <c r="O14" s="189">
        <f t="shared" si="7"/>
        <v>2189</v>
      </c>
      <c r="P14" s="189">
        <f t="shared" si="7"/>
        <v>1763</v>
      </c>
      <c r="Q14" s="189">
        <f t="shared" si="7"/>
        <v>1204</v>
      </c>
      <c r="R14" s="189">
        <f t="shared" si="7"/>
        <v>23477</v>
      </c>
      <c r="S14" s="189">
        <f t="shared" si="7"/>
        <v>10788</v>
      </c>
      <c r="T14" s="189">
        <f t="shared" si="7"/>
        <v>9627</v>
      </c>
      <c r="U14" s="189">
        <f t="shared" si="7"/>
        <v>8580</v>
      </c>
      <c r="V14" s="189">
        <f t="shared" si="7"/>
        <v>11859</v>
      </c>
      <c r="W14" s="189">
        <f t="shared" si="7"/>
        <v>1947</v>
      </c>
      <c r="X14" s="189">
        <f t="shared" si="7"/>
        <v>4647</v>
      </c>
      <c r="Y14" s="189">
        <f t="shared" si="7"/>
        <v>577</v>
      </c>
      <c r="Z14" s="189">
        <f t="shared" si="7"/>
        <v>918</v>
      </c>
      <c r="AA14" s="189">
        <f t="shared" si="7"/>
        <v>684</v>
      </c>
      <c r="AB14" s="189">
        <f t="shared" si="7"/>
        <v>820</v>
      </c>
      <c r="AC14" s="189">
        <f t="shared" si="7"/>
        <v>0</v>
      </c>
      <c r="AD14" s="189">
        <f t="shared" si="7"/>
        <v>0</v>
      </c>
      <c r="AE14" s="189">
        <f t="shared" si="7"/>
        <v>0</v>
      </c>
      <c r="AF14" s="189">
        <f>SUBTOTAL(9,AF9:AF13)</f>
        <v>0</v>
      </c>
      <c r="AG14" s="189">
        <f t="shared" ref="AG14:AT14" si="8">SUBTOTAL(9,AG8:AG13)</f>
        <v>502</v>
      </c>
      <c r="AH14" s="189">
        <f t="shared" si="8"/>
        <v>925</v>
      </c>
      <c r="AI14" s="189">
        <f t="shared" si="8"/>
        <v>817</v>
      </c>
      <c r="AJ14" s="189">
        <f t="shared" si="8"/>
        <v>560</v>
      </c>
      <c r="AK14" s="189">
        <f t="shared" si="8"/>
        <v>0</v>
      </c>
      <c r="AL14" s="189">
        <f t="shared" si="8"/>
        <v>0</v>
      </c>
      <c r="AM14" s="189">
        <f t="shared" si="8"/>
        <v>0</v>
      </c>
      <c r="AN14" s="189">
        <f t="shared" si="8"/>
        <v>0</v>
      </c>
      <c r="AO14" s="189">
        <f t="shared" si="8"/>
        <v>19</v>
      </c>
      <c r="AP14" s="189">
        <f t="shared" si="8"/>
        <v>19</v>
      </c>
      <c r="AQ14" s="189">
        <f t="shared" si="8"/>
        <v>19</v>
      </c>
      <c r="AR14" s="189">
        <f t="shared" si="8"/>
        <v>19</v>
      </c>
      <c r="AS14" s="189">
        <f t="shared" si="8"/>
        <v>0</v>
      </c>
      <c r="AT14" s="189">
        <f t="shared" si="8"/>
        <v>0</v>
      </c>
      <c r="AU14" s="209"/>
      <c r="AV14" s="134"/>
      <c r="AW14" s="209"/>
      <c r="AX14" s="134"/>
      <c r="AY14" s="189">
        <f>SUBTOTAL(9,AY8:AY13)</f>
        <v>11290</v>
      </c>
      <c r="AZ14" s="189">
        <f>SUBTOTAL(9,AZ8:AZ13)</f>
        <v>10552</v>
      </c>
      <c r="BA14" s="189">
        <f>SUBTOTAL(9,BA8:BA13)</f>
        <v>9397</v>
      </c>
      <c r="BB14" s="189">
        <f>SUBTOTAL(9,BB8:BB13)</f>
        <v>12419</v>
      </c>
      <c r="BC14" s="189">
        <f>SUBTOTAL(9,BC8:BC13)</f>
        <v>4640</v>
      </c>
      <c r="BD14" s="210">
        <f>IF(ISNUMBER(BA14/AZ14),BA14/AZ14," - ")</f>
        <v>0.89054207733131163</v>
      </c>
      <c r="BE14" s="211">
        <f>IF(ISNUMBER(BB14/BA14),BB14/BA14, " - ")</f>
        <v>1.3215919974459933</v>
      </c>
      <c r="BF14" s="211">
        <f>IF(ISNUMBER(BC14/BA14),BC14/BA14, " - ")</f>
        <v>0.49377460891773972</v>
      </c>
      <c r="BG14" s="212">
        <f>IF(ISNUMBER((AY14+AZ14)/BA14),(AY14+AZ14)/BA14," - ")</f>
        <v>2.3243588379269982</v>
      </c>
      <c r="BH14" s="145">
        <f>SUBTOTAL(9,BH8:BH13)</f>
        <v>19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3497</v>
      </c>
      <c r="J16" s="188">
        <v>8497</v>
      </c>
      <c r="K16" s="188">
        <v>7678</v>
      </c>
      <c r="L16" s="188">
        <v>4458</v>
      </c>
      <c r="M16" s="188">
        <v>656</v>
      </c>
      <c r="N16" s="188">
        <v>5546</v>
      </c>
      <c r="O16" s="186">
        <v>196</v>
      </c>
      <c r="P16" s="188">
        <v>309</v>
      </c>
      <c r="Q16" s="188">
        <v>228</v>
      </c>
      <c r="R16" s="188">
        <v>1014</v>
      </c>
      <c r="S16" s="188">
        <v>3027</v>
      </c>
      <c r="T16" s="188">
        <v>8035</v>
      </c>
      <c r="U16" s="188">
        <v>8024</v>
      </c>
      <c r="V16" s="188">
        <v>3230</v>
      </c>
      <c r="W16" s="188">
        <v>931</v>
      </c>
      <c r="X16" s="194">
        <v>5512</v>
      </c>
      <c r="Y16" s="207">
        <v>0</v>
      </c>
      <c r="Z16" s="188">
        <v>0</v>
      </c>
      <c r="AA16" s="188">
        <v>0</v>
      </c>
      <c r="AB16" s="188">
        <v>0</v>
      </c>
      <c r="AC16" s="188">
        <v>6</v>
      </c>
      <c r="AD16" s="188">
        <v>196</v>
      </c>
      <c r="AE16" s="188">
        <v>189</v>
      </c>
      <c r="AF16" s="194">
        <v>13</v>
      </c>
      <c r="AG16" s="207">
        <v>0</v>
      </c>
      <c r="AH16" s="188">
        <v>0</v>
      </c>
      <c r="AI16" s="188">
        <v>0</v>
      </c>
      <c r="AJ16" s="208">
        <v>0</v>
      </c>
      <c r="AK16" s="187">
        <v>13</v>
      </c>
      <c r="AL16" s="188">
        <v>176</v>
      </c>
      <c r="AM16" s="188">
        <v>185</v>
      </c>
      <c r="AN16" s="194">
        <v>4</v>
      </c>
      <c r="AO16" s="264">
        <v>8</v>
      </c>
      <c r="AP16" s="160">
        <v>8</v>
      </c>
      <c r="AQ16" s="160">
        <v>8</v>
      </c>
      <c r="AR16" s="160">
        <v>8</v>
      </c>
      <c r="AS16" s="350" t="s">
        <v>588</v>
      </c>
      <c r="AT16" s="208" t="s">
        <v>360</v>
      </c>
      <c r="AU16" s="207"/>
      <c r="AV16" s="208"/>
      <c r="AW16" s="207"/>
      <c r="AX16" s="208"/>
      <c r="AY16" s="130">
        <f t="shared" ref="AY16:BB17" si="10">IF(ISNUMBER(IF(D_I="SI",S16,S16+AK16)),IF(D_I="SI",S16,S16+AK16)," - ")</f>
        <v>3027</v>
      </c>
      <c r="AZ16" s="131">
        <f t="shared" si="10"/>
        <v>8035</v>
      </c>
      <c r="BA16" s="131">
        <f t="shared" si="10"/>
        <v>8024</v>
      </c>
      <c r="BB16" s="131">
        <f t="shared" si="10"/>
        <v>3230</v>
      </c>
      <c r="BC16" s="127">
        <f>IF(ISNUMBER(W16),W16," - ")</f>
        <v>931</v>
      </c>
      <c r="BD16" s="128">
        <f>IF(ISNUMBER(BA16/AZ16),BA16/AZ16," - ")</f>
        <v>0.99863098942128192</v>
      </c>
      <c r="BE16" s="129">
        <f>IF(ISNUMBER(BB16/BA16),BB16/BA16, " - ")</f>
        <v>0.40254237288135591</v>
      </c>
      <c r="BF16" s="129">
        <f>IF(ISNUMBER(BC16/BA16),BC16/BA16, " - ")</f>
        <v>0.11602691924227318</v>
      </c>
      <c r="BG16" s="201">
        <f t="shared" ref="BG16:BG19" si="11">IF(ISNUMBER((AY16+AZ16)/BA16),(AY16+AZ16)/BA16," - ")</f>
        <v>1.3786141575274178</v>
      </c>
      <c r="BH16" s="160">
        <v>8</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457</v>
      </c>
      <c r="J18" s="188">
        <v>857</v>
      </c>
      <c r="K18" s="188">
        <v>928</v>
      </c>
      <c r="L18" s="188">
        <v>394</v>
      </c>
      <c r="M18" s="188">
        <v>184</v>
      </c>
      <c r="N18" s="188">
        <v>549</v>
      </c>
      <c r="O18" s="188">
        <v>17</v>
      </c>
      <c r="P18" s="188">
        <v>32</v>
      </c>
      <c r="Q18" s="188">
        <v>38</v>
      </c>
      <c r="R18" s="188">
        <v>63</v>
      </c>
      <c r="S18" s="188">
        <v>498</v>
      </c>
      <c r="T18" s="188">
        <v>711</v>
      </c>
      <c r="U18" s="188">
        <v>651</v>
      </c>
      <c r="V18" s="188">
        <v>558</v>
      </c>
      <c r="W18" s="188">
        <v>147</v>
      </c>
      <c r="X18" s="194">
        <v>339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2</v>
      </c>
      <c r="AQ18" s="159">
        <v>2</v>
      </c>
      <c r="AR18" s="160">
        <v>2</v>
      </c>
      <c r="AS18" s="349" t="s">
        <v>864</v>
      </c>
      <c r="AT18" s="214"/>
      <c r="AU18" s="205"/>
      <c r="AV18" s="214"/>
      <c r="AW18" s="205"/>
      <c r="AX18" s="214"/>
      <c r="AY18" s="130">
        <f t="shared" ref="AY18:BB19" si="15">IF(ISNUMBER(S18),S18," - ")</f>
        <v>498</v>
      </c>
      <c r="AZ18" s="131">
        <f t="shared" si="15"/>
        <v>711</v>
      </c>
      <c r="BA18" s="131">
        <f t="shared" si="15"/>
        <v>651</v>
      </c>
      <c r="BB18" s="131">
        <f t="shared" si="15"/>
        <v>558</v>
      </c>
      <c r="BC18" s="127">
        <f>IF(ISNUMBER(W18),W18," - ")</f>
        <v>147</v>
      </c>
      <c r="BD18" s="128">
        <f>IF(ISNUMBER(BA18/AZ18),BA18/AZ18," - ")</f>
        <v>0.91561181434599159</v>
      </c>
      <c r="BE18" s="129">
        <f>IF(ISNUMBER(BB18/BA18),BB18/BA18, " - ")</f>
        <v>0.8571428571428571</v>
      </c>
      <c r="BF18" s="129">
        <f>IF(ISNUMBER(BC18/BA18),BC18/BA18, " - ")</f>
        <v>0.22580645161290322</v>
      </c>
      <c r="BG18" s="201">
        <f>IF(ISNUMBER((AY18+AZ18)/BA18),(AY18+AZ18)/BA18," - ")</f>
        <v>1.8571428571428572</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3954</v>
      </c>
      <c r="J20" s="189">
        <f t="shared" si="16"/>
        <v>9354</v>
      </c>
      <c r="K20" s="189">
        <f t="shared" si="16"/>
        <v>8606</v>
      </c>
      <c r="L20" s="189">
        <f t="shared" si="16"/>
        <v>4852</v>
      </c>
      <c r="M20" s="189">
        <f t="shared" si="16"/>
        <v>840</v>
      </c>
      <c r="N20" s="189">
        <f t="shared" si="16"/>
        <v>6095</v>
      </c>
      <c r="O20" s="189">
        <f t="shared" si="16"/>
        <v>213</v>
      </c>
      <c r="P20" s="189">
        <f t="shared" si="16"/>
        <v>341</v>
      </c>
      <c r="Q20" s="189">
        <f t="shared" si="16"/>
        <v>266</v>
      </c>
      <c r="R20" s="189">
        <f t="shared" si="16"/>
        <v>1077</v>
      </c>
      <c r="S20" s="189">
        <f t="shared" si="16"/>
        <v>3525</v>
      </c>
      <c r="T20" s="189">
        <f t="shared" si="16"/>
        <v>8746</v>
      </c>
      <c r="U20" s="189">
        <f t="shared" si="16"/>
        <v>8675</v>
      </c>
      <c r="V20" s="189">
        <f t="shared" si="16"/>
        <v>3788</v>
      </c>
      <c r="W20" s="189">
        <f t="shared" si="16"/>
        <v>1078</v>
      </c>
      <c r="X20" s="189">
        <f t="shared" si="16"/>
        <v>5851</v>
      </c>
      <c r="Y20" s="189">
        <f t="shared" si="16"/>
        <v>0</v>
      </c>
      <c r="Z20" s="189">
        <f t="shared" si="16"/>
        <v>0</v>
      </c>
      <c r="AA20" s="189">
        <f t="shared" si="16"/>
        <v>0</v>
      </c>
      <c r="AB20" s="189">
        <f t="shared" si="16"/>
        <v>0</v>
      </c>
      <c r="AC20" s="189">
        <f t="shared" si="16"/>
        <v>6</v>
      </c>
      <c r="AD20" s="189">
        <f t="shared" si="16"/>
        <v>196</v>
      </c>
      <c r="AE20" s="189">
        <f t="shared" si="16"/>
        <v>189</v>
      </c>
      <c r="AF20" s="189">
        <f t="shared" si="16"/>
        <v>13</v>
      </c>
      <c r="AG20" s="189">
        <f t="shared" si="16"/>
        <v>0</v>
      </c>
      <c r="AH20" s="189">
        <f t="shared" si="16"/>
        <v>0</v>
      </c>
      <c r="AI20" s="189">
        <f t="shared" si="16"/>
        <v>0</v>
      </c>
      <c r="AJ20" s="189">
        <f t="shared" si="16"/>
        <v>0</v>
      </c>
      <c r="AK20" s="189">
        <f t="shared" si="16"/>
        <v>13</v>
      </c>
      <c r="AL20" s="189">
        <f t="shared" si="16"/>
        <v>176</v>
      </c>
      <c r="AM20" s="189">
        <f t="shared" si="16"/>
        <v>185</v>
      </c>
      <c r="AN20" s="189">
        <f t="shared" si="16"/>
        <v>4</v>
      </c>
      <c r="AO20" s="189">
        <f t="shared" si="16"/>
        <v>10</v>
      </c>
      <c r="AP20" s="189">
        <f t="shared" si="16"/>
        <v>10</v>
      </c>
      <c r="AQ20" s="189">
        <f t="shared" si="16"/>
        <v>10</v>
      </c>
      <c r="AR20" s="189">
        <f t="shared" si="16"/>
        <v>10</v>
      </c>
      <c r="AS20" s="189">
        <f t="shared" si="16"/>
        <v>0</v>
      </c>
      <c r="AT20" s="189">
        <f t="shared" si="16"/>
        <v>0</v>
      </c>
      <c r="AU20" s="209"/>
      <c r="AV20" s="134"/>
      <c r="AW20" s="209"/>
      <c r="AX20" s="134"/>
      <c r="AY20" s="189">
        <f>SUBTOTAL(9,AY15:AY19)</f>
        <v>3525</v>
      </c>
      <c r="AZ20" s="189">
        <f>SUBTOTAL(9,AZ15:AZ19)</f>
        <v>8746</v>
      </c>
      <c r="BA20" s="189">
        <f>SUBTOTAL(9,BA15:BA19)</f>
        <v>8675</v>
      </c>
      <c r="BB20" s="189">
        <f>SUBTOTAL(9,BB15:BB19)</f>
        <v>3788</v>
      </c>
      <c r="BC20" s="189">
        <f>SUBTOTAL(9,BC15:BC19)</f>
        <v>1078</v>
      </c>
      <c r="BD20" s="210">
        <f>IF(ISNUMBER(BA20/AZ20),BA20/AZ20," - ")</f>
        <v>0.99188200320146358</v>
      </c>
      <c r="BE20" s="211">
        <f>IF(ISNUMBER(BB20/BA20),BB20/BA20, " - ")</f>
        <v>0.43665706051873199</v>
      </c>
      <c r="BF20" s="211">
        <f>IF(ISNUMBER(BC20/BA20),BC20/BA20, " - ")</f>
        <v>0.12426512968299712</v>
      </c>
      <c r="BG20" s="212">
        <f>IF(ISNUMBER((AY20+AZ20)/BA20),(AY20+AZ20)/BA20," - ")</f>
        <v>1.4145244956772334</v>
      </c>
      <c r="BH20" s="189">
        <f>SUBTOTAL(9,BH15:BH19)</f>
        <v>10</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17901</v>
      </c>
      <c r="J21" s="136">
        <f t="shared" si="19"/>
        <v>18580</v>
      </c>
      <c r="K21" s="136">
        <f t="shared" si="19"/>
        <v>15170</v>
      </c>
      <c r="L21" s="136">
        <f t="shared" si="19"/>
        <v>21321</v>
      </c>
      <c r="M21" s="136">
        <f t="shared" si="19"/>
        <v>2320</v>
      </c>
      <c r="N21" s="136">
        <f t="shared" si="19"/>
        <v>10097</v>
      </c>
      <c r="O21" s="136">
        <f t="shared" si="19"/>
        <v>2402</v>
      </c>
      <c r="P21" s="136">
        <f t="shared" si="19"/>
        <v>2104</v>
      </c>
      <c r="Q21" s="136">
        <f t="shared" si="19"/>
        <v>1470</v>
      </c>
      <c r="R21" s="136">
        <f t="shared" si="19"/>
        <v>24554</v>
      </c>
      <c r="S21" s="136">
        <f t="shared" si="19"/>
        <v>14313</v>
      </c>
      <c r="T21" s="136">
        <f t="shared" si="19"/>
        <v>18373</v>
      </c>
      <c r="U21" s="136">
        <f t="shared" si="19"/>
        <v>17255</v>
      </c>
      <c r="V21" s="136">
        <f t="shared" si="19"/>
        <v>15647</v>
      </c>
      <c r="W21" s="136">
        <f t="shared" si="19"/>
        <v>3025</v>
      </c>
      <c r="X21" s="136">
        <f t="shared" si="19"/>
        <v>10498</v>
      </c>
      <c r="Y21" s="136">
        <f t="shared" si="19"/>
        <v>577</v>
      </c>
      <c r="Z21" s="136">
        <f t="shared" si="19"/>
        <v>918</v>
      </c>
      <c r="AA21" s="136">
        <f t="shared" si="19"/>
        <v>684</v>
      </c>
      <c r="AB21" s="136">
        <f t="shared" si="19"/>
        <v>820</v>
      </c>
      <c r="AC21" s="136">
        <f t="shared" si="19"/>
        <v>6</v>
      </c>
      <c r="AD21" s="136">
        <f t="shared" si="19"/>
        <v>196</v>
      </c>
      <c r="AE21" s="136">
        <f t="shared" si="19"/>
        <v>189</v>
      </c>
      <c r="AF21" s="136">
        <f t="shared" si="19"/>
        <v>13</v>
      </c>
      <c r="AG21" s="136">
        <f t="shared" si="19"/>
        <v>502</v>
      </c>
      <c r="AH21" s="136">
        <f t="shared" si="19"/>
        <v>925</v>
      </c>
      <c r="AI21" s="136">
        <f t="shared" si="19"/>
        <v>817</v>
      </c>
      <c r="AJ21" s="136">
        <f t="shared" si="19"/>
        <v>560</v>
      </c>
      <c r="AK21" s="136">
        <f t="shared" si="19"/>
        <v>13</v>
      </c>
      <c r="AL21" s="136">
        <f t="shared" si="19"/>
        <v>176</v>
      </c>
      <c r="AM21" s="136">
        <f t="shared" si="19"/>
        <v>185</v>
      </c>
      <c r="AN21" s="215">
        <f t="shared" si="19"/>
        <v>4</v>
      </c>
      <c r="AO21" s="216">
        <v>27</v>
      </c>
      <c r="AP21" s="216">
        <v>27</v>
      </c>
      <c r="AQ21" s="216">
        <v>27</v>
      </c>
      <c r="AR21" s="216">
        <v>27</v>
      </c>
      <c r="AS21" s="158">
        <f t="shared" si="19"/>
        <v>0</v>
      </c>
      <c r="AT21" s="158">
        <f t="shared" si="19"/>
        <v>0</v>
      </c>
      <c r="AU21" s="216"/>
      <c r="AV21" s="217"/>
      <c r="AW21" s="216"/>
      <c r="AX21" s="217"/>
      <c r="AY21" s="135">
        <f>SUBTOTAL(9,AY9:AY20)</f>
        <v>14815</v>
      </c>
      <c r="AZ21" s="136">
        <f>SUBTOTAL(9,AZ9:AZ20)</f>
        <v>19298</v>
      </c>
      <c r="BA21" s="136">
        <f>SUBTOTAL(9,BA9:BA20)</f>
        <v>18072</v>
      </c>
      <c r="BB21" s="136">
        <f>SUBTOTAL(9,BB9:BB20)</f>
        <v>16207</v>
      </c>
      <c r="BC21" s="137">
        <f>SUBTOTAL(9,BC9:BC20)</f>
        <v>5718</v>
      </c>
      <c r="BD21" s="218">
        <f>IF(ISNUMBER(BA21/AZ21),BA21/AZ21," - ")</f>
        <v>0.93647010052855217</v>
      </c>
      <c r="BE21" s="215">
        <f>IF(ISNUMBER(BB21/BA21),BB21/BA21, " - ")</f>
        <v>0.89680168216024791</v>
      </c>
      <c r="BF21" s="215">
        <f>IF(ISNUMBER(BC21/BA21),BC21/BA21, " - ")</f>
        <v>0.31640106241699867</v>
      </c>
      <c r="BG21" s="137">
        <f>IF(ISNUMBER((AY21+AZ21)/BA21),(AY21+AZ21)/BA21," - ")</f>
        <v>1.8876162018592297</v>
      </c>
      <c r="BH21" s="216">
        <f>SUBTOTAL(9,BH9:BH20)</f>
        <v>29</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QHP6Wjj3x30CsaEl+1vR1DxB8TDXThvnCv8x3EhFuvc4Kn9VnsEWWSZJGq9biwNdj47LpeGT27kCRfYYhV+ZQ==" saltValue="LmTYfsPxDMYTnT/rhJUO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L4mActneaynmGBjOzP7p23FrKekEgTlvsnI+r7+Y4DbhiZ1GTAh/9KA6T5i0d7VY33tVzA8rM4sFsqx8TuAA==" saltValue="WsPCtRDVVo1uu7ciiGgt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LAS PALMAS  Resumenes por Partidos Judiciales  LAS PALMAS DE GRAN CANARIA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14</v>
      </c>
      <c r="B9" s="653" t="s">
        <v>273</v>
      </c>
      <c r="C9" s="671" t="str">
        <f>Datos!A9</f>
        <v xml:space="preserve">Jdos. 1ª Instancia   </v>
      </c>
      <c r="D9" s="544"/>
      <c r="E9" s="670">
        <f>IF(ISNUMBER(Datos!AQ9),Datos!AQ9," - ")</f>
        <v>14</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188</v>
      </c>
      <c r="O9" s="504"/>
      <c r="P9" s="504"/>
      <c r="Q9" s="502">
        <f>IF(ISNUMBER(Datos!P9),Datos!P9,0)</f>
        <v>1693</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1163</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311</v>
      </c>
      <c r="AI9" s="504" t="str">
        <f>IF(ISNUMBER(Datos!CD9),Datos!CD9,"-")</f>
        <v>-</v>
      </c>
      <c r="AJ9" s="504" t="str">
        <f>IF(ISNUMBER(Datos!EN9),Datos!EN9," - ")</f>
        <v xml:space="preserve"> - </v>
      </c>
      <c r="AK9" s="504"/>
      <c r="AL9" s="505"/>
      <c r="AM9" s="672">
        <f>IF(ISNUMBER(Datos!R9),Datos!R9," - ")</f>
        <v>22047</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1258</v>
      </c>
      <c r="BD9" s="620">
        <f>IF(ISNUMBER(Datos!N9),Datos!N9," - ")</f>
        <v>3308</v>
      </c>
      <c r="BE9" s="620" t="str">
        <f>IF(ISNUMBER(Datos!BW9),Datos!BW9," - ")</f>
        <v xml:space="preserve"> - </v>
      </c>
      <c r="BF9" s="668" t="str">
        <f>IF(ISNUMBER(Datos!BX9),Datos!BX9," - ")</f>
        <v xml:space="preserve"> - </v>
      </c>
      <c r="BG9" s="669">
        <f>IF(ISNUMBER(IF(J_V="SI",Datos!K9/Datos!J9,(Datos!K9+Datos!AA9)/(Datos!J9+Datos!Z9))),IF(J_V="SI",Datos!K9/Datos!J9,(Datos!K9+Datos!AA9)/(Datos!J9+Datos!Z9))," - ")</f>
        <v>0.71425186589266676</v>
      </c>
      <c r="BH9" s="670">
        <f>IF(ISNUMBER(((IF(J_V="SI",Datos!L9/Datos!K9,(Datos!L9+Datos!AB9)/(Datos!K9+Datos!AA9)))*11)/factor_trimestre),((IF(J_V="SI",Datos!L9/Datos!K9,(Datos!L9+Datos!AB9)/(Datos!K9+Datos!AA9)))*11)/factor_trimestre," - ")</f>
        <v>7.546027533587659</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2.4631686573407075E-2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2</v>
      </c>
      <c r="F10" s="507">
        <f>IF(ISNUMBER(Datos!L10+Datos!K10-Datos!J10),Datos!L10+Datos!K10-Datos!J10," - ")</f>
        <v>224</v>
      </c>
      <c r="G10" s="498">
        <f>IF(ISNUMBER(Datos!I10),Datos!I10," - ")</f>
        <v>224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96</v>
      </c>
      <c r="AC10" s="502">
        <f>IF(ISNUMBER(Datos!Q10),Datos!Q10," - ")</f>
        <v>8</v>
      </c>
      <c r="AD10" s="504"/>
      <c r="AE10" s="517"/>
      <c r="AF10" s="506">
        <f>IF(ISNUMBER(Datos!L10),Datos!L10,"-")</f>
        <v>224</v>
      </c>
      <c r="AG10" s="504"/>
      <c r="AH10" s="504"/>
      <c r="AI10" s="504"/>
      <c r="AJ10" s="504"/>
      <c r="AK10" s="504"/>
      <c r="AL10" s="505"/>
      <c r="AM10" s="672">
        <f>IF(ISNUMBER(Datos!R10),Datos!R10," - ")</f>
        <v>161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27</v>
      </c>
      <c r="BD10" s="620">
        <f>IF(ISNUMBER(Datos!N10),Datos!N10," - ")</f>
        <v>37</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7.0000000000000009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5.921052631578947E-2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3</v>
      </c>
      <c r="B11" s="654" t="s">
        <v>273</v>
      </c>
      <c r="C11" s="655" t="str">
        <f>Datos!A11</f>
        <v xml:space="preserve">Jdos. Familia                                   </v>
      </c>
      <c r="D11" s="549"/>
      <c r="E11" s="670">
        <f>IF(ISNUMBER(Datos!AQ11),Datos!AQ11," - ")</f>
        <v>3</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730</v>
      </c>
      <c r="O11" s="504"/>
      <c r="P11" s="504"/>
      <c r="Q11" s="502">
        <f>IF(ISNUMBER(Datos!P11),Datos!P11,0)</f>
        <v>53</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33</v>
      </c>
      <c r="AD11" s="504"/>
      <c r="AE11" s="517"/>
      <c r="AF11" s="506" t="str">
        <f>IF(ISNUMBER(IF(J_V="SI",Datos!L11,Datos!L11+Datos!AB11)-IF(Monitorios="SI",Datos!CD11,0)),
                          IF(J_V="SI",Datos!L11,Datos!L11+Datos!AB11)-IF(Monitorios="SI",Datos!CD11,0),
                          " - ")</f>
        <v xml:space="preserve"> - </v>
      </c>
      <c r="AG11" s="504"/>
      <c r="AH11" s="504">
        <f>IF(ISNUMBER(Datos!AB11),Datos!AB11,"-")</f>
        <v>509</v>
      </c>
      <c r="AI11" s="504"/>
      <c r="AJ11" s="504"/>
      <c r="AK11" s="504"/>
      <c r="AL11" s="505"/>
      <c r="AM11" s="672">
        <f>IF(ISNUMBER(Datos!R11),Datos!R11," - ")</f>
        <v>1269</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195</v>
      </c>
      <c r="BD11" s="620">
        <f>IF(ISNUMBER(Datos!N11),Datos!N11," - ")</f>
        <v>657</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0.69881767268201622</v>
      </c>
      <c r="BH11" s="670">
        <f>IF(ISNUMBER(((IF(J_V="SI",Datos!L11/Datos!K11,(Datos!L11+Datos!AB11)/(Datos!K11+Datos!AA11)))*11)/factor_trimestre),((IF(J_V="SI",Datos!L11/Datos!K11,(Datos!L11+Datos!AB11)/(Datos!K11+Datos!AA11)))*11)/factor_trimestre," - ")</f>
        <v>5.0756901157613541</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1.6012810248198558E-2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19</v>
      </c>
      <c r="F14" s="1045">
        <f t="shared" si="1"/>
        <v>224</v>
      </c>
      <c r="G14" s="1045">
        <f t="shared" si="1"/>
        <v>224</v>
      </c>
      <c r="H14" s="1046">
        <f t="shared" si="1"/>
        <v>0</v>
      </c>
      <c r="I14" s="1045">
        <f t="shared" si="1"/>
        <v>0</v>
      </c>
      <c r="J14" s="1014">
        <f t="shared" si="1"/>
        <v>0</v>
      </c>
      <c r="K14" s="1014">
        <f t="shared" si="1"/>
        <v>0</v>
      </c>
      <c r="L14" s="1046">
        <f t="shared" si="1"/>
        <v>0</v>
      </c>
      <c r="M14" s="1046">
        <f t="shared" si="1"/>
        <v>0</v>
      </c>
      <c r="N14" s="1046">
        <f t="shared" si="1"/>
        <v>918</v>
      </c>
      <c r="O14" s="1047">
        <f t="shared" si="1"/>
        <v>0</v>
      </c>
      <c r="P14" s="1047">
        <f t="shared" si="1"/>
        <v>0</v>
      </c>
      <c r="Q14" s="1046">
        <f t="shared" si="1"/>
        <v>1763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96</v>
      </c>
      <c r="AC14" s="1046">
        <f t="shared" si="2"/>
        <v>1204</v>
      </c>
      <c r="AD14" s="1046">
        <f t="shared" si="2"/>
        <v>0</v>
      </c>
      <c r="AE14" s="1046">
        <f t="shared" si="2"/>
        <v>0</v>
      </c>
      <c r="AF14" s="1046">
        <f t="shared" si="2"/>
        <v>224</v>
      </c>
      <c r="AG14" s="1046">
        <f t="shared" si="2"/>
        <v>0</v>
      </c>
      <c r="AH14" s="1046">
        <f t="shared" si="2"/>
        <v>820</v>
      </c>
      <c r="AI14" s="1046">
        <f t="shared" si="2"/>
        <v>0</v>
      </c>
      <c r="AJ14" s="1046">
        <f t="shared" si="2"/>
        <v>0</v>
      </c>
      <c r="AK14" s="1046">
        <f t="shared" si="2"/>
        <v>0</v>
      </c>
      <c r="AL14" s="1046">
        <f t="shared" si="2"/>
        <v>0</v>
      </c>
      <c r="AM14" s="1046">
        <f t="shared" si="2"/>
        <v>23477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1480</v>
      </c>
      <c r="BD14" s="1046">
        <f t="shared" si="2"/>
        <v>4002</v>
      </c>
      <c r="BE14" s="1046">
        <f t="shared" si="2"/>
        <v>0</v>
      </c>
      <c r="BF14" s="1046">
        <f t="shared" si="2"/>
        <v>0</v>
      </c>
      <c r="BG14" s="1046">
        <f>IF(ISNUMBER(Datos!K14/Datos!J14),Datos!K14/Datos!J14," - ")</f>
        <v>0.71146759158898765</v>
      </c>
      <c r="BH14" s="1050">
        <f>IF(ISNUMBER(((Datos!L14/Datos!K14)*11)/factor_trimestre),((Datos!L14/Datos!K14)*11)/factor_trimestre," - ")</f>
        <v>7.5269652650822678</v>
      </c>
      <c r="BI14" s="1046">
        <f>IF(ISNUMBER('Resol  Asuntos'!D14/NºAsuntos!G14),'Resol  Asuntos'!D14/NºAsuntos!G14," - ")</f>
        <v>0.2041942604856512</v>
      </c>
      <c r="BJ14" s="1046" t="str">
        <f>IF(ISNUMBER(Datos!CI14/Datos!CJ14),Datos!CI14/Datos!CJ14," - ")</f>
        <v xml:space="preserve"> - </v>
      </c>
      <c r="BK14" s="1046">
        <f>SUBTOTAL(9,BK8:BK13)</f>
        <v>0</v>
      </c>
      <c r="BL14" s="1046">
        <f>IF(ISNUMBER((I14-AB14+L14)/(F14)),(I14-AB14+L14)/(F14)," - ")</f>
        <v>-0.42857142857142855</v>
      </c>
      <c r="BM14" s="1051">
        <f>SUBTOTAL(9,BM9:BM13)</f>
        <v>9.985502313739511E-2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8</v>
      </c>
      <c r="B16" s="647" t="s">
        <v>437</v>
      </c>
      <c r="C16" s="657" t="str">
        <f>Datos!A16</f>
        <v xml:space="preserve">Jdos. Instrucción                               </v>
      </c>
      <c r="D16" s="658"/>
      <c r="E16" s="1334">
        <f>IF(ISNUMBER(Datos!AQ16),Datos!AQ16," - ")</f>
        <v>8</v>
      </c>
      <c r="F16" s="648">
        <f>IF(ISNUMBER(AF16+AB16-Datos!J16-L16),AF16+AB16-Datos!J16-L16," - ")</f>
        <v>3639</v>
      </c>
      <c r="G16" s="651">
        <f>IF(ISNUMBER(IF(D_I="SI",Datos!I16,Datos!I16+Datos!AC16)),IF(D_I="SI",Datos!I16,Datos!I16+Datos!AC16)," - ")</f>
        <v>3497</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309</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7678</v>
      </c>
      <c r="AC16" s="231">
        <f>IF(ISNUMBER(Datos!Q16),Datos!Q16," - ")</f>
        <v>228</v>
      </c>
      <c r="AD16" s="344"/>
      <c r="AE16" s="516"/>
      <c r="AF16" s="649">
        <f>IF(ISNUMBER(IF(D_I="SI",Datos!L16,Datos!L16+Datos!AF16)),IF(D_I="SI",Datos!L16,Datos!L16+Datos!AF16)," - ")</f>
        <v>4458</v>
      </c>
      <c r="AG16" s="344"/>
      <c r="AH16" s="344"/>
      <c r="AI16" s="344"/>
      <c r="AJ16" s="504"/>
      <c r="AK16" s="344"/>
      <c r="AL16" s="500"/>
      <c r="AM16" s="345">
        <f>IF(ISNUMBER(Datos!R16),Datos!R16," - ")</f>
        <v>1014</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656</v>
      </c>
      <c r="BD16" s="234">
        <f>IF(ISNUMBER(Datos!N16),Datos!N16," - ")</f>
        <v>5546</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0.90361303989643404</v>
      </c>
      <c r="BH16" s="670">
        <f>IF(ISNUMBER(((IF(D_I="SI",Datos!L16/Datos!K16,(Datos!L16+Datos!AF16)/(Datos!K16+Datos!AE16)))*11)/factor_trimestre),((IF(D_I="SI",Datos!L16/Datos!K16,(Datos!L16+Datos!AF16)/(Datos!K16+Datos!AE16)))*11)/factor_trimestre," - ")</f>
        <v>1.7418598593383694</v>
      </c>
      <c r="BI16" s="248">
        <f>IF(ISNUMBER('Resol  Asuntos'!D16/NºAsuntos!G16),'Resol  Asuntos'!D16/NºAsuntos!G16," - ")</f>
        <v>8.5438916384475122E-2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2</v>
      </c>
      <c r="F18" s="507" t="str">
        <f>IF(ISNUMBER(AF18+AB18-I18-L18),AF18+AB18-I18-L18," - ")</f>
        <v xml:space="preserve"> - </v>
      </c>
      <c r="G18" s="498">
        <f>IF(ISNUMBER(IF(D_I="SI",Datos!I18,Datos!I18+Datos!AC18)),IF(D_I="SI",Datos!I18,Datos!I18+Datos!AC18)," - ")</f>
        <v>457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928</v>
      </c>
      <c r="AC18" s="502">
        <f>IF(ISNUMBER(Datos!Q18),Datos!Q18," - ")</f>
        <v>38</v>
      </c>
      <c r="AD18" s="504"/>
      <c r="AE18" s="516"/>
      <c r="AF18" s="506">
        <f>IF(ISNUMBER(Datos!L18),Datos!L18,"-")</f>
        <v>394</v>
      </c>
      <c r="AG18" s="504"/>
      <c r="AH18" s="504"/>
      <c r="AI18" s="504"/>
      <c r="AJ18" s="504"/>
      <c r="AK18" s="504"/>
      <c r="AL18" s="505"/>
      <c r="AM18" s="672">
        <f>IF(ISNUMBER(Datos!R18),Datos!R18," - ")</f>
        <v>63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184</v>
      </c>
      <c r="BD18" s="620">
        <f>IF(ISNUMBER(Datos!N18),Datos!N18," - ")</f>
        <v>549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1.0828471411901983</v>
      </c>
      <c r="BH18" s="670">
        <f>IF(ISNUMBER(((IF(D_I="SI",Datos!L18/Datos!K18,(Datos!L18+Datos!AF18)/(Datos!K18+Datos!AE18)))*11)/factor_trimestre),((IF(D_I="SI",Datos!L18/Datos!K18,(Datos!L18+Datos!AF18)/(Datos!K18+Datos!AE18)))*11)/factor_trimestre," - ")</f>
        <v>1.2737068965517242</v>
      </c>
      <c r="BI18" s="669">
        <f>IF(ISNUMBER('Resol  Asuntos'!D18/NºAsuntos!G18),'Resol  Asuntos'!D18/NºAsuntos!G18," - ")</f>
        <v>0.19827586206896552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10</v>
      </c>
      <c r="F20" s="1045">
        <f>SUBTOTAL(9,F16:F19)</f>
        <v>3639</v>
      </c>
      <c r="G20" s="1045">
        <f>SUBTOTAL(9,G16:G19)</f>
        <v>3954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341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8606</v>
      </c>
      <c r="AC20" s="1046">
        <f t="shared" si="5"/>
        <v>266</v>
      </c>
      <c r="AD20" s="1046">
        <f t="shared" si="5"/>
        <v>0</v>
      </c>
      <c r="AE20" s="1046">
        <f t="shared" si="5"/>
        <v>0</v>
      </c>
      <c r="AF20" s="1046">
        <f t="shared" si="5"/>
        <v>4852</v>
      </c>
      <c r="AG20" s="1046">
        <f t="shared" si="5"/>
        <v>0</v>
      </c>
      <c r="AH20" s="1046">
        <f t="shared" si="5"/>
        <v>0</v>
      </c>
      <c r="AI20" s="1046">
        <f t="shared" si="5"/>
        <v>0</v>
      </c>
      <c r="AJ20" s="1046">
        <f t="shared" si="5"/>
        <v>0</v>
      </c>
      <c r="AK20" s="1046">
        <f t="shared" si="5"/>
        <v>0</v>
      </c>
      <c r="AL20" s="1046">
        <f t="shared" si="5"/>
        <v>0</v>
      </c>
      <c r="AM20" s="1046">
        <f t="shared" si="5"/>
        <v>1077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840</v>
      </c>
      <c r="BD20" s="1046">
        <f t="shared" si="5"/>
        <v>6095</v>
      </c>
      <c r="BE20" s="1046">
        <f t="shared" si="5"/>
        <v>0</v>
      </c>
      <c r="BF20" s="1046">
        <f t="shared" si="5"/>
        <v>0</v>
      </c>
      <c r="BG20" s="1046">
        <f>IF(ISNUMBER(Datos!K20/Datos!J20),Datos!K20/Datos!J20," - ")</f>
        <v>0.92003420996365193</v>
      </c>
      <c r="BH20" s="1050">
        <f>IF(ISNUMBER(((Datos!L20/Datos!K20)*11)/factor_trimestre),((Datos!L20/Datos!K20)*11)/factor_trimestre," - ")</f>
        <v>1.6913781082965373</v>
      </c>
      <c r="BI20" s="1046">
        <f>SUBTOTAL(9,BI16:BI19)</f>
        <v>0.28371477845344062</v>
      </c>
      <c r="BJ20" s="1046">
        <f>SUBTOTAL(9,BJ16:BJ19)</f>
        <v>0</v>
      </c>
      <c r="BK20" s="1046">
        <f>SUBTOTAL(9,BK16:BK19)</f>
        <v>0</v>
      </c>
      <c r="BL20" s="1046">
        <f>IF(ISNUMBER((I20-AB20+L20)/(F20)),(I20-AB20+L20)/(F20)," - ")</f>
        <v>-2.3649354218191809</v>
      </c>
      <c r="BM20" s="1052">
        <f>IF(ISNUMBER((Datos!P20-Datos!Q20)/(Datos!R20-Datos!P20+Datos!Q20)),(Datos!P20-Datos!Q20)/(Datos!R20-Datos!P20+Datos!Q20)," - ")</f>
        <v>7.4850299401197598E-2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29</v>
      </c>
      <c r="F21" s="967">
        <f t="shared" si="7"/>
        <v>3863</v>
      </c>
      <c r="G21" s="967">
        <f t="shared" si="7"/>
        <v>4178</v>
      </c>
      <c r="H21" s="969">
        <f t="shared" si="7"/>
        <v>0</v>
      </c>
      <c r="I21" s="967">
        <f t="shared" si="7"/>
        <v>0</v>
      </c>
      <c r="J21" s="969">
        <f t="shared" si="7"/>
        <v>0</v>
      </c>
      <c r="K21" s="969">
        <f t="shared" si="7"/>
        <v>0</v>
      </c>
      <c r="L21" s="1028">
        <f t="shared" si="7"/>
        <v>0</v>
      </c>
      <c r="M21" s="1028">
        <f t="shared" si="7"/>
        <v>0</v>
      </c>
      <c r="N21" s="1028">
        <f t="shared" si="7"/>
        <v>918</v>
      </c>
      <c r="O21" s="1028">
        <f t="shared" si="7"/>
        <v>0</v>
      </c>
      <c r="P21" s="1028">
        <f t="shared" si="7"/>
        <v>0</v>
      </c>
      <c r="Q21" s="969">
        <f t="shared" si="7"/>
        <v>2104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8702</v>
      </c>
      <c r="AC21" s="968">
        <f t="shared" si="8"/>
        <v>1470</v>
      </c>
      <c r="AD21" s="968">
        <f t="shared" si="8"/>
        <v>0</v>
      </c>
      <c r="AE21" s="968">
        <f t="shared" si="8"/>
        <v>0</v>
      </c>
      <c r="AF21" s="975">
        <f t="shared" si="8"/>
        <v>5076</v>
      </c>
      <c r="AG21" s="975">
        <f t="shared" si="8"/>
        <v>0</v>
      </c>
      <c r="AH21" s="975">
        <f t="shared" si="8"/>
        <v>820</v>
      </c>
      <c r="AI21" s="975">
        <f t="shared" si="8"/>
        <v>0</v>
      </c>
      <c r="AJ21" s="968">
        <f t="shared" si="8"/>
        <v>0</v>
      </c>
      <c r="AK21" s="975">
        <f t="shared" si="8"/>
        <v>0</v>
      </c>
      <c r="AL21" s="975">
        <f t="shared" si="8"/>
        <v>0</v>
      </c>
      <c r="AM21" s="975">
        <f t="shared" si="8"/>
        <v>24554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2320</v>
      </c>
      <c r="BD21" s="967">
        <f t="shared" si="8"/>
        <v>10097</v>
      </c>
      <c r="BE21" s="967">
        <f t="shared" si="8"/>
        <v>0</v>
      </c>
      <c r="BF21" s="977">
        <f t="shared" si="8"/>
        <v>0</v>
      </c>
      <c r="BG21" s="1062">
        <f>IF(ISNUMBER(Datos!K21/Datos!J21),Datos!K21/Datos!J21," - ")</f>
        <v>0.81646932185145316</v>
      </c>
      <c r="BH21" s="1062">
        <f>IF(ISNUMBER(((Datos!L21/Datos!K21)*11)/factor_trimestre),((Datos!L21/Datos!K21)*11)/factor_trimestre," - ")</f>
        <v>4.2164139749505605</v>
      </c>
      <c r="BI21" s="960">
        <f>IF(ISNUMBER(Datos!J21/Datos!I21),Datos!J21/Datos!I21," - ")</f>
        <v>1.0379308418524105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-2.252653378203469</v>
      </c>
      <c r="BM21" s="1036">
        <f>IF(ISNUMBER((Datos!P21-Datos!Q21+R21)/(Datos!R21-Datos!P21+Datos!Q21-R21)),(Datos!P21-Datos!Q21+R21)/(Datos!R21-Datos!P21+Datos!Q21-R21)," - ")</f>
        <v>2.6505016722408025E-2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1671.2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6.5740536823319156</v>
      </c>
      <c r="F23" s="600">
        <f>IF(ISNUMBER(STDEV(F8:F20)),STDEV(F8:F20),"-")</f>
        <v>1971.651169282572</v>
      </c>
      <c r="G23" s="601">
        <f>IF(ISNUMBER(STDEV(G8:G20)),STDEV(G8:G20),"-")</f>
        <v>1884.6603672810654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4281.1999719704754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563.59750075487636</v>
      </c>
      <c r="BD23" s="600"/>
      <c r="BE23" s="600">
        <f>IF(ISNUMBER(STDEV(BE8:BE20)),STDEV(BE8:BE20),"-")</f>
        <v>0</v>
      </c>
      <c r="BF23" s="605">
        <f>IF(ISNUMBER(STDEV(BF8:BF20)),STDEV(BF8:BF20),"-")</f>
        <v>0</v>
      </c>
      <c r="BG23" s="915">
        <f>IF(ISNUMBER(STDEV(BG8:BG20)),STDEV(BG8:BG20),"-")</f>
        <v>0.15493751676751219</v>
      </c>
      <c r="BH23" s="919">
        <f>IF(ISNUMBER(STDEV(BH8:BH20)),STDEV(BH8:BH20),"-")</f>
        <v>2.9128684434705425</v>
      </c>
      <c r="BI23" s="254">
        <f>IF(ISNUMBER(STDEV(BI8:BI20)),STDEV(BI8:BI20),"-")</f>
        <v>8.1550942255859446E-2</v>
      </c>
      <c r="BJ23" s="235" t="str">
        <f>IF(ISNUMBER(BL23/BM23),BL23/BM23," - ")</f>
        <v xml:space="preserve"> - </v>
      </c>
      <c r="BK23" s="627"/>
      <c r="BL23" s="608">
        <f>IF(ISNUMBER(STDEV(BL8:BL20)),STDEV(BL8:BL20),"-")</f>
        <v>1.3692161104709482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JL0560qg4bkQ5O1+ftF1idcSdDcTMo0e1Aai4yLVvRNSb8T5oPcLXHAquKc/K+a80AmQqu9Oio6bQ12hACSAw==" saltValue="g1F/ZuYpdqvel6mi6iyH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LAS PALMAS  Resumenes por Partidos Judiciales  LAS PALMAS DE GRAN CANARIA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14</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1693</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1163</v>
      </c>
      <c r="AA9" s="506" t="str">
        <f>IF(ISNUMBER(IF(J_V="SI",Datos!L9,Datos!L9+Datos!AB9)-IF(Monitorios="SI",Datos!CD9,0)),
                          IF(J_V="SI",Datos!L9,Datos!L9+Datos!AB9)-IF(Monitorios="SI",Datos!CD9,0),
                          " - ")</f>
        <v xml:space="preserve"> - </v>
      </c>
      <c r="AB9" s="504"/>
      <c r="AC9" s="504"/>
      <c r="AD9" s="517"/>
      <c r="AE9" s="517">
        <f>IF(ISNUMBER(Datos!R9),Datos!R9," - ")</f>
        <v>22047</v>
      </c>
      <c r="AF9" s="620" t="str">
        <f>IF(ISNUMBER(Datos!BV9),Datos!BV9," - ")</f>
        <v xml:space="preserve"> - </v>
      </c>
      <c r="AG9" s="507" t="str">
        <f>IF(ISNUMBER(Datos!DV9),Datos!DV9," - ")</f>
        <v xml:space="preserve"> - </v>
      </c>
      <c r="AH9" s="508"/>
      <c r="AI9" s="509"/>
      <c r="AJ9" s="507">
        <f>IF(ISNUMBER(Datos!M9),Datos!M9," - ")</f>
        <v>1258</v>
      </c>
      <c r="AK9" s="620">
        <f>IF(ISNUMBER(Datos!N9),Datos!N9," - ")</f>
        <v>3308</v>
      </c>
      <c r="AL9" s="620" t="str">
        <f>IF(ISNUMBER(Datos!BW9),Datos!BW9," - ")</f>
        <v xml:space="preserve"> - </v>
      </c>
      <c r="AM9" s="668" t="str">
        <f>IF(ISNUMBER(Datos!BX9),Datos!BX9," - ")</f>
        <v xml:space="preserve"> - </v>
      </c>
      <c r="AN9" s="669"/>
      <c r="AO9" s="670">
        <f>IF(ISNUMBER(((NºAsuntos!I9/NºAsuntos!G9)*11)/factor_trimestre),((NºAsuntos!I9/NºAsuntos!G9)*11)/factor_trimestre," - ")</f>
        <v>7.546027533587659</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2.4631686573407075E-2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2</v>
      </c>
      <c r="F10" s="507">
        <f>IF(ISNUMBER(Datos!L10+Datos!K10-Datos!J10),Datos!L10+Datos!K10-Datos!J10," - ")</f>
        <v>224</v>
      </c>
      <c r="G10" s="507">
        <f>IF(ISNUMBER(Datos!I10),Datos!I10," - ")</f>
        <v>224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96</v>
      </c>
      <c r="Z10" s="704">
        <f>IF(ISNUMBER(Datos!Q10),Datos!Q10," - ")</f>
        <v>8</v>
      </c>
      <c r="AA10" s="506">
        <f>IF(ISNUMBER(Datos!L10),Datos!L10,"-")</f>
        <v>224</v>
      </c>
      <c r="AB10" s="504"/>
      <c r="AC10" s="504"/>
      <c r="AD10" s="517"/>
      <c r="AE10" s="517">
        <f>IF(ISNUMBER(Datos!R10),Datos!R10," - ")</f>
        <v>161</v>
      </c>
      <c r="AF10" s="620" t="str">
        <f>IF(ISNUMBER(Datos!BV10),Datos!BV10," - ")</f>
        <v xml:space="preserve"> - </v>
      </c>
      <c r="AG10" s="507" t="str">
        <f>IF(ISNUMBER(Datos!DV10),Datos!DV10," - ")</f>
        <v xml:space="preserve"> - </v>
      </c>
      <c r="AH10" s="508"/>
      <c r="AI10" s="509"/>
      <c r="AJ10" s="507">
        <f>IF(ISNUMBER(Datos!M10),Datos!M10," - ")</f>
        <v>27</v>
      </c>
      <c r="AK10" s="620">
        <f>IF(ISNUMBER(Datos!N10),Datos!N10," - ")</f>
        <v>37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7.0000000000000009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5.921052631578947E-2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3</v>
      </c>
      <c r="B11" s="654" t="s">
        <v>273</v>
      </c>
      <c r="C11" s="655" t="str">
        <f>Datos!A11</f>
        <v xml:space="preserve">Jdos. Familia                                   </v>
      </c>
      <c r="D11" s="549"/>
      <c r="E11" s="1337">
        <f>IF(ISNUMBER(Datos!AQ11),Datos!AQ11," - ")</f>
        <v>3</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53</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33</v>
      </c>
      <c r="AA11" s="506" t="str">
        <f>IF(ISNUMBER(IF(J_V="SI",Datos!L11,Datos!L11+Datos!AB11)-IF(Monitorios="SI",Datos!CD11,0)),
                          IF(J_V="SI",Datos!L11,Datos!L11+Datos!AB11)-IF(Monitorios="SI",Datos!CD11,0),
                          " - ")</f>
        <v xml:space="preserve"> - </v>
      </c>
      <c r="AB11" s="504"/>
      <c r="AC11" s="504"/>
      <c r="AD11" s="517"/>
      <c r="AE11" s="517">
        <f>IF(ISNUMBER(Datos!R11),Datos!R11," - ")</f>
        <v>1269</v>
      </c>
      <c r="AF11" s="620" t="str">
        <f>IF(ISNUMBER(Datos!BV11),Datos!BV11," - ")</f>
        <v xml:space="preserve"> - </v>
      </c>
      <c r="AG11" s="507" t="str">
        <f>IF(ISNUMBER(Datos!DV11),Datos!DV11," - ")</f>
        <v xml:space="preserve"> - </v>
      </c>
      <c r="AH11" s="508"/>
      <c r="AI11" s="509"/>
      <c r="AJ11" s="507">
        <f>IF(ISNUMBER(Datos!M11),Datos!M11," - ")</f>
        <v>195</v>
      </c>
      <c r="AK11" s="620">
        <f>IF(ISNUMBER(Datos!N11),Datos!N11," - ")</f>
        <v>657</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5.0756901157613541</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1.6012810248198558E-2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19</v>
      </c>
      <c r="F14" s="1045">
        <f>SUBTOTAL(9,F8:F13)</f>
        <v>224</v>
      </c>
      <c r="G14" s="1045">
        <f>SUBTOTAL(9,G8:G13)</f>
        <v>224</v>
      </c>
      <c r="H14" s="1055"/>
      <c r="I14" s="1045">
        <f t="shared" ref="I14:N14" si="1">SUBTOTAL(9,I8:I13)</f>
        <v>0</v>
      </c>
      <c r="J14" s="1014">
        <f t="shared" si="1"/>
        <v>0</v>
      </c>
      <c r="K14" s="1055">
        <f t="shared" si="1"/>
        <v>0</v>
      </c>
      <c r="L14" s="1055">
        <f t="shared" si="1"/>
        <v>0</v>
      </c>
      <c r="M14" s="1055">
        <f t="shared" si="1"/>
        <v>0</v>
      </c>
      <c r="N14" s="1055">
        <f t="shared" si="1"/>
        <v>1763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96</v>
      </c>
      <c r="Z14" s="1054">
        <f t="shared" si="3"/>
        <v>1204</v>
      </c>
      <c r="AA14" s="1047">
        <f t="shared" si="3"/>
        <v>224</v>
      </c>
      <c r="AB14" s="1047">
        <f t="shared" si="3"/>
        <v>0</v>
      </c>
      <c r="AC14" s="1047">
        <f t="shared" si="3"/>
        <v>0</v>
      </c>
      <c r="AD14" s="1047">
        <f t="shared" si="3"/>
        <v>0</v>
      </c>
      <c r="AE14" s="1047">
        <f t="shared" si="3"/>
        <v>23477</v>
      </c>
      <c r="AF14" s="1055">
        <f t="shared" si="3"/>
        <v>0</v>
      </c>
      <c r="AG14" s="1055">
        <f t="shared" si="3"/>
        <v>0</v>
      </c>
      <c r="AH14" s="1055">
        <f t="shared" si="3"/>
        <v>0</v>
      </c>
      <c r="AI14" s="1055">
        <f t="shared" si="3"/>
        <v>0</v>
      </c>
      <c r="AJ14" s="1055">
        <f t="shared" si="3"/>
        <v>1480</v>
      </c>
      <c r="AK14" s="1055">
        <f t="shared" si="3"/>
        <v>4002</v>
      </c>
      <c r="AL14" s="1055">
        <f t="shared" si="3"/>
        <v>0</v>
      </c>
      <c r="AM14" s="1055">
        <f t="shared" si="3"/>
        <v>0</v>
      </c>
      <c r="AN14" s="1055">
        <f t="shared" si="3"/>
        <v>0</v>
      </c>
      <c r="AO14" s="1051">
        <f>IF(ISNUMBER(((NºAsuntos!I14/NºAsuntos!G14)*11)/factor_trimestre),((NºAsuntos!I14/NºAsuntos!G14)*11)/factor_trimestre," - ")</f>
        <v>7.1560430463576168</v>
      </c>
      <c r="AP14" s="1057" t="str">
        <f>IF(ISNUMBER(Datos!CI14/Datos!CJ14),Datos!CI14/Datos!CJ14," - ")</f>
        <v xml:space="preserve"> - </v>
      </c>
      <c r="AQ14" s="1075">
        <f t="shared" ref="AQ14:AV14" si="4">SUBTOTAL(9,AQ9:AQ13)</f>
        <v>0</v>
      </c>
      <c r="AR14" s="1075">
        <f t="shared" si="4"/>
        <v>9.985502313739511E-2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8</v>
      </c>
      <c r="B16" s="654" t="s">
        <v>437</v>
      </c>
      <c r="C16" s="671" t="str">
        <f>Datos!A16</f>
        <v xml:space="preserve">Jdos. Instrucción                               </v>
      </c>
      <c r="D16" s="544"/>
      <c r="E16" s="1337">
        <f>IF(ISNUMBER(Datos!AQ16),Datos!AQ16," - ")</f>
        <v>8</v>
      </c>
      <c r="F16" s="498">
        <f>IF(ISNUMBER(AA16+Y16-Datos!J16-K16),AA16+Y16-Datos!J16-K16," - ")</f>
        <v>3639</v>
      </c>
      <c r="G16" s="507">
        <f>IF(ISNUMBER(IF(D_I="SI",Datos!I16,Datos!I16+Datos!AC16)),IF(D_I="SI",Datos!I16,Datos!I16+Datos!AC16)," - ")</f>
        <v>3497</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309</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7678</v>
      </c>
      <c r="Z16" s="704">
        <f>IF(ISNUMBER(Datos!Q16),Datos!Q16," - ")</f>
        <v>228</v>
      </c>
      <c r="AA16" s="506">
        <f>IF(ISNUMBER(IF(D_I="SI",Datos!L16,Datos!L16+Datos!AF16)),IF(D_I="SI",Datos!L16,Datos!L16+Datos!AF16)," - ")</f>
        <v>4458</v>
      </c>
      <c r="AB16" s="504"/>
      <c r="AC16" s="504"/>
      <c r="AD16" s="517"/>
      <c r="AE16" s="517">
        <f>IF(ISNUMBER(Datos!R16),Datos!R16," - ")</f>
        <v>1014</v>
      </c>
      <c r="AF16" s="620" t="str">
        <f>IF(ISNUMBER(Datos!BV16),Datos!BV16," - ")</f>
        <v xml:space="preserve"> - </v>
      </c>
      <c r="AG16" s="507"/>
      <c r="AH16" s="508"/>
      <c r="AI16" s="509"/>
      <c r="AJ16" s="507">
        <f>IF(ISNUMBER(Datos!M16),Datos!M16," - ")</f>
        <v>656</v>
      </c>
      <c r="AK16" s="620">
        <f>IF(ISNUMBER(Datos!N16),Datos!N16," - ")</f>
        <v>5546</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1.7418598593383694</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2</v>
      </c>
      <c r="F18" s="507" t="str">
        <f>IF(ISNUMBER(AA18+Y18-I18-K18),AA18+Y18-I18-K18," - ")</f>
        <v xml:space="preserve"> - </v>
      </c>
      <c r="G18" s="741">
        <f>IF(ISNUMBER(IF(D_I="SI",Datos!I18,Datos!I18+Datos!AC18)),IF(D_I="SI",Datos!I18,Datos!I18+Datos!AC18)," - ")</f>
        <v>457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928</v>
      </c>
      <c r="Z18" s="704">
        <f>IF(ISNUMBER(Datos!Q18),Datos!Q18," - ")</f>
        <v>38</v>
      </c>
      <c r="AA18" s="506">
        <f>IF(ISNUMBER(Datos!L18),Datos!L18,"-")</f>
        <v>394</v>
      </c>
      <c r="AB18" s="504"/>
      <c r="AC18" s="504"/>
      <c r="AD18" s="517"/>
      <c r="AE18" s="517">
        <f>IF(ISNUMBER(Datos!R18),Datos!R18," - ")</f>
        <v>63</v>
      </c>
      <c r="AF18" s="620" t="str">
        <f>IF(ISNUMBER(Datos!BV18),Datos!BV18," - ")</f>
        <v xml:space="preserve"> - </v>
      </c>
      <c r="AG18" s="507" t="str">
        <f>IF(ISNUMBER(Datos!DV18),Datos!DV18," - ")</f>
        <v xml:space="preserve"> - </v>
      </c>
      <c r="AH18" s="508"/>
      <c r="AI18" s="509"/>
      <c r="AJ18" s="507">
        <f>IF(ISNUMBER(Datos!M18),Datos!M18," - ")</f>
        <v>184</v>
      </c>
      <c r="AK18" s="620">
        <f>IF(ISNUMBER(Datos!N18),Datos!N18," - ")</f>
        <v>549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1.2737068965517242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10</v>
      </c>
      <c r="F20" s="1045">
        <f>SUBTOTAL(9,F16:F19)</f>
        <v>3639</v>
      </c>
      <c r="G20" s="1045">
        <f>SUBTOTAL(9,G16:G19)</f>
        <v>3954</v>
      </c>
      <c r="H20" s="1079">
        <f>SUBTOTAL(9,H16:H19)</f>
        <v>0</v>
      </c>
      <c r="I20" s="1058">
        <f>SUBTOTAL(9,I16:I19)</f>
        <v>0</v>
      </c>
      <c r="J20" s="1014">
        <f>SUBTOTAL(9,J15:J19)</f>
        <v>0</v>
      </c>
      <c r="K20" s="1079">
        <f t="shared" ref="K20:S20" si="5">SUBTOTAL(9,K16:K19)</f>
        <v>0</v>
      </c>
      <c r="L20" s="1079">
        <f t="shared" si="5"/>
        <v>0</v>
      </c>
      <c r="M20" s="1079">
        <f t="shared" si="5"/>
        <v>0</v>
      </c>
      <c r="N20" s="1079">
        <f t="shared" si="5"/>
        <v>341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8606</v>
      </c>
      <c r="Z20" s="1079">
        <f t="shared" si="6"/>
        <v>266</v>
      </c>
      <c r="AA20" s="1079">
        <f t="shared" si="6"/>
        <v>4852</v>
      </c>
      <c r="AB20" s="1079">
        <f t="shared" si="6"/>
        <v>0</v>
      </c>
      <c r="AC20" s="1079">
        <f t="shared" si="6"/>
        <v>0</v>
      </c>
      <c r="AD20" s="1079">
        <f t="shared" si="6"/>
        <v>0</v>
      </c>
      <c r="AE20" s="1079">
        <f t="shared" si="6"/>
        <v>1077</v>
      </c>
      <c r="AF20" s="1079">
        <f t="shared" si="6"/>
        <v>0</v>
      </c>
      <c r="AG20" s="1079">
        <f t="shared" si="6"/>
        <v>0</v>
      </c>
      <c r="AH20" s="1079">
        <f t="shared" si="6"/>
        <v>0</v>
      </c>
      <c r="AI20" s="1079">
        <f t="shared" si="6"/>
        <v>0</v>
      </c>
      <c r="AJ20" s="1079">
        <f t="shared" si="6"/>
        <v>840</v>
      </c>
      <c r="AK20" s="1079">
        <f t="shared" si="6"/>
        <v>6095</v>
      </c>
      <c r="AL20" s="1079">
        <f t="shared" si="6"/>
        <v>0</v>
      </c>
      <c r="AM20" s="1079">
        <f t="shared" si="6"/>
        <v>0</v>
      </c>
      <c r="AN20" s="1079">
        <f t="shared" si="6"/>
        <v>0</v>
      </c>
      <c r="AO20" s="1081">
        <f>IF(ISNUMBER(((NºAsuntos!I20/NºAsuntos!G20)*11)/factor_trimestre),((NºAsuntos!I20/NºAsuntos!G20)*11)/factor_trimestre," - ")</f>
        <v>1.6913781082965373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29</v>
      </c>
      <c r="F21" s="967">
        <f t="shared" si="8"/>
        <v>3863</v>
      </c>
      <c r="G21" s="967">
        <f t="shared" si="8"/>
        <v>4178</v>
      </c>
      <c r="H21" s="968">
        <f t="shared" si="8"/>
        <v>0</v>
      </c>
      <c r="I21" s="967">
        <f t="shared" si="8"/>
        <v>0</v>
      </c>
      <c r="J21" s="969">
        <f t="shared" si="8"/>
        <v>0</v>
      </c>
      <c r="K21" s="967">
        <f t="shared" si="8"/>
        <v>0</v>
      </c>
      <c r="L21" s="970">
        <f t="shared" si="8"/>
        <v>0</v>
      </c>
      <c r="M21" s="967">
        <f t="shared" si="8"/>
        <v>0</v>
      </c>
      <c r="N21" s="968">
        <f t="shared" si="8"/>
        <v>2104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8702</v>
      </c>
      <c r="Z21" s="974">
        <f t="shared" si="9"/>
        <v>1470</v>
      </c>
      <c r="AA21" s="975">
        <f t="shared" si="9"/>
        <v>5076</v>
      </c>
      <c r="AB21" s="975">
        <f t="shared" si="9"/>
        <v>0</v>
      </c>
      <c r="AC21" s="975">
        <f t="shared" si="9"/>
        <v>0</v>
      </c>
      <c r="AD21" s="976">
        <f t="shared" si="9"/>
        <v>0</v>
      </c>
      <c r="AE21" s="976">
        <f t="shared" si="9"/>
        <v>24554</v>
      </c>
      <c r="AF21" s="977">
        <f t="shared" si="9"/>
        <v>0</v>
      </c>
      <c r="AG21" s="978">
        <f t="shared" si="9"/>
        <v>0</v>
      </c>
      <c r="AH21" s="979">
        <f t="shared" si="9"/>
        <v>0</v>
      </c>
      <c r="AI21" s="977">
        <f t="shared" si="9"/>
        <v>0</v>
      </c>
      <c r="AJ21" s="967">
        <f t="shared" si="9"/>
        <v>2320</v>
      </c>
      <c r="AK21" s="967">
        <f t="shared" si="9"/>
        <v>10097</v>
      </c>
      <c r="AL21" s="967">
        <f t="shared" si="9"/>
        <v>0</v>
      </c>
      <c r="AM21" s="980">
        <f t="shared" si="9"/>
        <v>0</v>
      </c>
      <c r="AN21" s="970">
        <f>IF(ISNUMBER(Datos!K21/Datos!J21),Datos!K21/Datos!J21," - ")</f>
        <v>0.81646932185145316</v>
      </c>
      <c r="AO21" s="970">
        <f>IF(ISNUMBER(FIND("06",Criterios!A8,1)),(IF(ISNUMBER(((Datos!R21/Datos!Q21)*11)/factor_trimestre),((Datos!R21/Datos!Q21)*11)/factor_trimestre," - ")),(IF(ISNUMBER(((Datos!L21/Datos!K21)*11)/factor_trimestre),((Datos!L21/Datos!K21)*11)/factor_trimestre," - ")))</f>
        <v>4.2164139749505605</v>
      </c>
      <c r="AP21" s="981" t="str">
        <f>IF(ISNUMBER(Datos!CI21/Datos!CJ21),Datos!CI21/Datos!CJ21," - ")</f>
        <v xml:space="preserve"> - </v>
      </c>
      <c r="AQ21" s="981">
        <f>IF(OR(ISNUMBER(FIND("01",Criterios!A8,1)),ISNUMBER(FIND("02",Criterios!A8,1)),ISNUMBER(FIND("03",Criterios!A8,1)),ISNUMBER(FIND("04",Criterios!A8,1))),(J21-Y21+K21)/(F21-K21),(I21-Y21+K21)/(F21-K21))</f>
        <v>-2.252653378203469</v>
      </c>
      <c r="AR21" s="981">
        <f>IF(ISNUMBER((Datos!P21-Datos!Q21+O21)/(Datos!R21-Datos!P21+Datos!Q21-O21)),(Datos!P21-Datos!Q21+O21)/(Datos!R21-Datos!P21+Datos!Q21-O21)," - ")</f>
        <v>2.6505016722408025E-2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1671.2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1971.651169282572</v>
      </c>
      <c r="G23" s="601">
        <f>IF(ISNUMBER(STDEV(G8:G20)),STDEV(G8:G20),"-")</f>
        <v>1884.6603672810654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563.59750075487636</v>
      </c>
      <c r="AK23" s="257"/>
      <c r="AL23" s="257">
        <f>IF(ISNUMBER(STDEV(AL8:AL20)),STDEV(AL8:AL20),"-")</f>
        <v>0</v>
      </c>
      <c r="AM23" s="259">
        <f>IF(ISNUMBER(STDEV(AM8:AM20)),STDEV(AM8:AM20),"-")</f>
        <v>0</v>
      </c>
      <c r="AN23" s="587">
        <f>IF(ISNUMBER(STDEV(AN8:AN20)),STDEV(AN8:AN20),"-")</f>
        <v>0</v>
      </c>
      <c r="AO23" s="588">
        <f>IF(ISNUMBER(STDEV(AO8:AO20)),STDEV(AO8:AO20),"-")</f>
        <v>2.8524520225932686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nqzBfXvYE0ZdFyA2Bim8J14mbWdGxs1k2gwz2EKUUEqs1hLacuIcw/VTjGtvqlD9GGhL8SG5e/y9LfEUzKGzA==" saltValue="0stHBd9lOYzqEoygsLCx0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L6KZFGlvqlIyQyc1AlnG0PVYaVT5SCbPLtIj5Lu+mBMSEt/2kmHTphb2lXu1b3u2QoPpEOHZi7SfohfdGkaHQ==" saltValue="jw34SfpDINVcRVoKwgul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QTA/GdtF63HIeUJPhsNAeN1pMkCHtL8+X/aSYXbZh5ybTJJbVXOgLDM+pW8w6+BP+OT1sriiwRj3NOfA8Ic9g==" saltValue="b9B7ioLalSV56z6RgxHn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LAS PALMAS  Resumenes por Partidos Judiciales  LAS PALMAS DE GRAN CANARIA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0.2041942604856512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0.14438714626877625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STg1nimrkKJhjcSESyHQDmJVEuNyLlpCPw6vneFjb4OSQh47xNVM70KgiqNfdgShpt+LnMhq7sX9bBDEVvhsA==" saltValue="ZddAQ69uaocb3oHCnl6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BdptlKUad7pYY/69UqJLmync/UAprKD0+Jl7oLBag+NnZ4iwoYXbjaC+Kitkb+9vAjvFHKEEy6v6wA5hVxIFw==" saltValue="mQBliX1iairkvymP/2vf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LAS PALMAS</v>
      </c>
      <c r="D3" s="400"/>
      <c r="E3" s="400"/>
      <c r="F3" s="400"/>
    </row>
    <row r="4" spans="1:14" ht="13.5" thickBot="1">
      <c r="A4" s="400"/>
      <c r="B4" s="403" t="str">
        <f>Criterios!A11 &amp;"  "&amp;Criterios!B11</f>
        <v>Resumenes por Partidos Judiciales  LAS PALMAS DE GRAN CANARIA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14</v>
      </c>
      <c r="C9" s="415">
        <f>IF(ISNUMBER(IF(J_V="SI",Datos!I9,Datos!I9+Datos!Y9)),IF(J_V="SI",Datos!I9,Datos!I9+Datos!Y9)," - ")</f>
        <v>12884</v>
      </c>
      <c r="D9" s="416">
        <f>IF(ISNUMBER(C9/Datos!BH9),C9/Datos!BH9," - ")</f>
        <v>920.28571428571433</v>
      </c>
      <c r="E9" s="415">
        <f>IF(ISNUMBER(IF(J_V="SI",Datos!J9,Datos!J9+Datos!Z9)),IF(J_V="SI",Datos!J9,Datos!J9+Datos!Z9)," - ")</f>
        <v>8441</v>
      </c>
      <c r="F9" s="416">
        <f>IF(ISNUMBER(E9/B9),E9/B9," - ")</f>
        <v>602.92857142857144</v>
      </c>
      <c r="G9" s="415">
        <f>IF(ISNUMBER(IF(J_V="SI",Datos!K9,Datos!K9+Datos!AA9)),IF(J_V="SI",Datos!K9,Datos!K9+Datos!AA9)," - ")</f>
        <v>6029</v>
      </c>
      <c r="H9" s="416">
        <f>IF(ISNUMBER(G9/B9),G9/B9," - ")</f>
        <v>430.64285714285717</v>
      </c>
      <c r="I9" s="415">
        <f>IF(ISNUMBER(IF(J_V="SI",Datos!L9,Datos!L9+Datos!AB9)),IF(J_V="SI",Datos!L9,Datos!L9+Datos!AB9)," - ")</f>
        <v>15165</v>
      </c>
      <c r="J9" s="416">
        <f>IF(ISNUMBER(I9/B9),I9/B9," - ")</f>
        <v>1083.2142857142858</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224</v>
      </c>
      <c r="D10" s="416">
        <f>IF(ISNUMBER(C10/Datos!BH10),C10/Datos!BH10," - ")</f>
        <v>112</v>
      </c>
      <c r="E10" s="415">
        <f>IF(ISNUMBER(Datos!J10),Datos!J10," - ")</f>
        <v>96</v>
      </c>
      <c r="F10" s="416">
        <f>IF(ISNUMBER(E10/B10),E10/B10," - ")</f>
        <v>48</v>
      </c>
      <c r="G10" s="415">
        <f>IF(ISNUMBER(Datos!K10),Datos!K10," - ")</f>
        <v>96</v>
      </c>
      <c r="H10" s="416">
        <f>IF(ISNUMBER(G10/B10),G10/B10," - ")</f>
        <v>48</v>
      </c>
      <c r="I10" s="415">
        <f>IF(ISNUMBER(Datos!L10),Datos!L10," - ")</f>
        <v>224</v>
      </c>
      <c r="J10" s="416">
        <f>IF(ISNUMBER(I10/B10),I10/B10," - ")</f>
        <v>112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3</v>
      </c>
      <c r="C11" s="415">
        <f>IF(ISNUMBER(IF(J_V="SI",Datos!I11,Datos!I11+Datos!Y11)),IF(J_V="SI",Datos!I11,Datos!I11+Datos!Y11)," - ")</f>
        <v>1416</v>
      </c>
      <c r="D11" s="416">
        <f>IF(ISNUMBER(C11/Datos!BH11),C11/Datos!BH11," - ")</f>
        <v>472</v>
      </c>
      <c r="E11" s="415">
        <f>IF(ISNUMBER(IF(J_V="SI",Datos!J11,Datos!J11+Datos!Z11)),IF(J_V="SI",Datos!J11,Datos!J11+Datos!Z11)," - ")</f>
        <v>1607</v>
      </c>
      <c r="F11" s="416">
        <f>IF(ISNUMBER(E11/B11),E11/B11," - ")</f>
        <v>535.66666666666663</v>
      </c>
      <c r="G11" s="415">
        <f>IF(ISNUMBER(IF(J_V="SI",Datos!K11,Datos!K11+Datos!AA11)),IF(J_V="SI",Datos!K11,Datos!K11+Datos!AA11)," - ")</f>
        <v>1123</v>
      </c>
      <c r="H11" s="416">
        <f>IF(ISNUMBER(G11/B11),G11/B11," - ")</f>
        <v>374.33333333333331</v>
      </c>
      <c r="I11" s="415">
        <f>IF(ISNUMBER(IF(J_V="SI",Datos!L11,Datos!L11+Datos!AB11)),IF(J_V="SI",Datos!L11,Datos!L11+Datos!AB11)," - ")</f>
        <v>1900</v>
      </c>
      <c r="J11" s="416">
        <f>IF(ISNUMBER(I11/B11),I11/B11," - ")</f>
        <v>633.33333333333337</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19</v>
      </c>
      <c r="C14" s="996">
        <f>SUBTOTAL(9,C8:C13)</f>
        <v>14524</v>
      </c>
      <c r="D14" s="997" t="str">
        <f>IF(ISNUMBER(C14/Datos!BI14),C14/Datos!BI14," - ")</f>
        <v xml:space="preserve"> - </v>
      </c>
      <c r="E14" s="996">
        <f>SUBTOTAL(9,E8:E13)</f>
        <v>10144</v>
      </c>
      <c r="F14" s="997">
        <f>IF(ISNUMBER(E14/B14),E14/B14," - ")</f>
        <v>533.89473684210532</v>
      </c>
      <c r="G14" s="996">
        <f>SUBTOTAL(9,G8:G13)</f>
        <v>7248</v>
      </c>
      <c r="H14" s="997">
        <f>IF(ISNUMBER(G14/B14),G14/B14," - ")</f>
        <v>381.4736842105263</v>
      </c>
      <c r="I14" s="996">
        <f>SUBTOTAL(9,I8:I13)</f>
        <v>17289</v>
      </c>
      <c r="J14" s="997">
        <f>IF(ISNUMBER(I14/B14),I14/B14," - ")</f>
        <v>909.9473684210526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8</v>
      </c>
      <c r="C16" s="415">
        <f>IF(ISNUMBER(IF(D_I="SI",Datos!I16,Datos!I16+Datos!AC16)),IF(D_I="SI",Datos!I16,Datos!I16+Datos!AC16)," - ")</f>
        <v>3497</v>
      </c>
      <c r="D16" s="416">
        <f>IF(ISNUMBER(C16/Datos!BH16),C16/Datos!BH16," - ")</f>
        <v>437.125</v>
      </c>
      <c r="E16" s="415">
        <f>IF(ISNUMBER(IF(D_I="SI",Datos!J16,Datos!J16+Datos!AD16)),IF(D_I="SI",Datos!J16,Datos!J16+Datos!AD16)," - ")</f>
        <v>8497</v>
      </c>
      <c r="F16" s="416">
        <f>IF(ISNUMBER(E16/B16),E16/B16," - ")</f>
        <v>1062.125</v>
      </c>
      <c r="G16" s="415">
        <f>IF(ISNUMBER(IF(D_I="SI",Datos!K16,Datos!K16+Datos!AE16)),IF(D_I="SI",Datos!K16,Datos!K16+Datos!AE16)," - ")</f>
        <v>7678</v>
      </c>
      <c r="H16" s="416">
        <f>IF(ISNUMBER(G16/B16),G16/B16," - ")</f>
        <v>959.75</v>
      </c>
      <c r="I16" s="415">
        <f>IF(ISNUMBER(IF(D_I="SI",Datos!L16,Datos!L16+Datos!AF16)),IF(D_I="SI",Datos!L16,Datos!L16+Datos!AF16)," - ")</f>
        <v>4458</v>
      </c>
      <c r="J16" s="416">
        <f>IF(ISNUMBER(I16/B16),I16/B16," - ")</f>
        <v>557.25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457</v>
      </c>
      <c r="D18" s="416">
        <f>IF(ISNUMBER(C18/Datos!BH18),C18/Datos!BH18," - ")</f>
        <v>228.5</v>
      </c>
      <c r="E18" s="415">
        <f>IF(ISNUMBER(IF(D_I="SI",Datos!J18,Datos!J18+Datos!AD18)),IF(D_I="SI",Datos!J18,Datos!J18+Datos!AD18)," - ")</f>
        <v>857</v>
      </c>
      <c r="F18" s="416">
        <f>IF(ISNUMBER(E18/B18),E18/B18," - ")</f>
        <v>428.5</v>
      </c>
      <c r="G18" s="415">
        <f>IF(ISNUMBER(IF(D_I="SI",Datos!K18,Datos!K18+Datos!AE18)),IF(D_I="SI",Datos!K18,Datos!K18+Datos!AE18)," - ")</f>
        <v>928</v>
      </c>
      <c r="H18" s="416">
        <f>IF(ISNUMBER(G18/B18),G18/B18," - ")</f>
        <v>464</v>
      </c>
      <c r="I18" s="415">
        <f>IF(ISNUMBER(IF(D_I="SI",Datos!L18,Datos!L18+Datos!AF18)),IF(D_I="SI",Datos!L18,Datos!L18+Datos!AF18)," - ")</f>
        <v>394</v>
      </c>
      <c r="J18" s="416">
        <f>IF(ISNUMBER(I18/B18),I18/B18," - ")</f>
        <v>197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10</v>
      </c>
      <c r="C20" s="996">
        <f>SUBTOTAL(9,C15:C19)</f>
        <v>3954</v>
      </c>
      <c r="D20" s="997" t="str">
        <f>IF(ISNUMBER(C20/Datos!BI20),C20/Datos!BI20," - ")</f>
        <v xml:space="preserve"> - </v>
      </c>
      <c r="E20" s="996">
        <f>SUBTOTAL(9,E15:E19)</f>
        <v>9354</v>
      </c>
      <c r="F20" s="997">
        <f>IF(ISNUMBER(E20/B20),E20/B20," - ")</f>
        <v>935.4</v>
      </c>
      <c r="G20" s="996">
        <f>SUBTOTAL(9,G15:G19)</f>
        <v>8606</v>
      </c>
      <c r="H20" s="997">
        <f>IF(ISNUMBER(G20/B20),G20/B20," - ")</f>
        <v>860.6</v>
      </c>
      <c r="I20" s="996">
        <f>SUBTOTAL(9,I15:I19)</f>
        <v>4852</v>
      </c>
      <c r="J20" s="997">
        <f>IF(ISNUMBER(I20/B20),I20/B20," - ")</f>
        <v>485.2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27</v>
      </c>
      <c r="C21" s="941">
        <f>SUBTOTAL(9,C9:C20)</f>
        <v>18478</v>
      </c>
      <c r="D21" s="942" t="str">
        <f>IF(ISNUMBER(C21/Datos!BI21),C21/Datos!BI21," - ")</f>
        <v xml:space="preserve"> - </v>
      </c>
      <c r="E21" s="941">
        <f>SUBTOTAL(9,E9:E20)</f>
        <v>19498</v>
      </c>
      <c r="F21" s="942">
        <f>IF(ISNUMBER(E21/B21),E21/B21," - ")</f>
        <v>722.14814814814815</v>
      </c>
      <c r="G21" s="941">
        <f>SUBTOTAL(9,G9:G20)</f>
        <v>15854</v>
      </c>
      <c r="H21" s="942">
        <f>IF(ISNUMBER(G21/B21),G21/B21," - ")</f>
        <v>587.18518518518522</v>
      </c>
      <c r="I21" s="941">
        <f>SUBTOTAL(9,I9:I20)</f>
        <v>22141</v>
      </c>
      <c r="J21" s="942">
        <f>IF(ISNUMBER(I21/B21),I21/B21," - ")</f>
        <v>820.03703703703707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V4XzExMSVv0VSy+RFu8D51+o2s/jSgZm9IEcxHMKvCZW4leJeRs65KzQGaNIhAp94IwrD6Vh3WHUqB595OGFQ==" saltValue="kZxBYNhQTNOFdzI9sqcsv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LAS PALMAS  Resumenes por Partidos Judiciales  LAS PALMAS DE GRAN CANARIA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14</v>
      </c>
      <c r="B9" s="653" t="s">
        <v>273</v>
      </c>
      <c r="C9" s="671" t="str">
        <f>Datos!A9</f>
        <v xml:space="preserve">Jdos. 1ª Instancia   </v>
      </c>
      <c r="D9" s="544"/>
      <c r="E9" s="801">
        <f>IF(ISNUMBER(Datos!AQ9),Datos!AQ9," - ")</f>
        <v>14</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2</v>
      </c>
      <c r="F10" s="802">
        <f>IF(ISNUMBER(Datos!L10+Datos!K10-Datos!J10),Datos!L10+Datos!K10-Datos!J10," - ")</f>
        <v>224</v>
      </c>
      <c r="G10" s="803">
        <f>IF(ISNUMBER(Datos!I10),Datos!I10," - ")</f>
        <v>224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96</v>
      </c>
      <c r="AC10" s="802" t="str">
        <f>IF(ISNUMBER(IF(D_I="SI",DatosP!K18,DatosP!K18+DatosP!AE18)),IF(D_I="SI",DatosP!K18,DatosP!K18+DatosP!AE18)," - ")</f>
        <v xml:space="preserve"> - </v>
      </c>
      <c r="AD10" s="804"/>
      <c r="AE10" s="804"/>
      <c r="AF10" s="807">
        <f>IF(ISNUMBER(Datos!L10),Datos!L10,"-")</f>
        <v>224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27</v>
      </c>
      <c r="AM10" s="811">
        <f>IF(ISNUMBER(Datos!N10+DatosP!N18),Datos!N10+DatosP!N18," - ")</f>
        <v>37</v>
      </c>
      <c r="AN10" s="811">
        <f>IF(ISNUMBER(Datos!BW10+DatosP!BW18),Datos!BW10+DatosP!BW18," - ")</f>
        <v>0</v>
      </c>
      <c r="AO10" s="812">
        <f>IF(ISNUMBER(Datos!BX10+DatosP!BX18),Datos!BX10+DatosP!BX18," - ")</f>
        <v>0</v>
      </c>
      <c r="AP10" s="814">
        <f>IF(ISNUMBER(((Datos!L10/Datos!K10)*11)/factor_trimestre),((Datos!L10/Datos!K10)*11)/factor_trimestre," - ")</f>
        <v>7.0000000000000009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3</v>
      </c>
      <c r="B11" s="654" t="s">
        <v>273</v>
      </c>
      <c r="C11" s="655" t="str">
        <f>Datos!A11</f>
        <v xml:space="preserve">Jdos. Familia                                   </v>
      </c>
      <c r="D11" s="549"/>
      <c r="E11" s="801">
        <f>IF(ISNUMBER(Datos!AQ11),Datos!AQ11," - ")</f>
        <v>3</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19</v>
      </c>
      <c r="F14" s="1085">
        <f t="shared" si="0"/>
        <v>224</v>
      </c>
      <c r="G14" s="1085">
        <f t="shared" si="0"/>
        <v>224</v>
      </c>
      <c r="H14" s="1085">
        <f t="shared" si="0"/>
        <v>0</v>
      </c>
      <c r="I14" s="1087">
        <f t="shared" si="0"/>
        <v>0</v>
      </c>
      <c r="J14" s="1086">
        <f t="shared" si="0"/>
        <v>0</v>
      </c>
      <c r="K14" s="1086">
        <f t="shared" si="0"/>
        <v>0</v>
      </c>
      <c r="L14" s="1088">
        <f t="shared" si="0"/>
        <v>0</v>
      </c>
      <c r="M14" s="1088">
        <f t="shared" si="0"/>
        <v>0</v>
      </c>
      <c r="N14" s="1086">
        <f t="shared" si="0"/>
        <v>17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96</v>
      </c>
      <c r="AC14" s="1086">
        <f t="shared" si="1"/>
        <v>0</v>
      </c>
      <c r="AD14" s="1086">
        <f t="shared" si="1"/>
        <v>0</v>
      </c>
      <c r="AE14" s="1086">
        <f t="shared" si="1"/>
        <v>0</v>
      </c>
      <c r="AF14" s="1086">
        <f t="shared" si="1"/>
        <v>224</v>
      </c>
      <c r="AG14" s="1086">
        <f t="shared" si="1"/>
        <v>0</v>
      </c>
      <c r="AH14" s="1086">
        <f t="shared" si="1"/>
        <v>0</v>
      </c>
      <c r="AI14" s="1086">
        <f t="shared" si="1"/>
        <v>0</v>
      </c>
      <c r="AJ14" s="1086">
        <f t="shared" si="1"/>
        <v>0</v>
      </c>
      <c r="AK14" s="1086">
        <f t="shared" si="1"/>
        <v>0</v>
      </c>
      <c r="AL14" s="1086">
        <f t="shared" si="1"/>
        <v>27</v>
      </c>
      <c r="AM14" s="1086">
        <f t="shared" si="1"/>
        <v>37</v>
      </c>
      <c r="AN14" s="1086">
        <f t="shared" si="1"/>
        <v>0</v>
      </c>
      <c r="AO14" s="1086">
        <f t="shared" si="1"/>
        <v>0</v>
      </c>
      <c r="AP14" s="1091">
        <f>IF(ISNUMBER(((Datos!L14/Datos!K14)*11)/factor_trimestre),((Datos!L14/Datos!K14)*11)/factor_trimestre," - ")</f>
        <v>7.5269652650822678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-0.42857142857142855</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8</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1.6913781082965373</v>
      </c>
      <c r="AQ20" s="1091">
        <f>IF(ISNUMBER(((Datos!M20/Datos!L20)*11)/factor_trimestre),((Datos!M20/Datos!L20)*11)/factor_trimestre," - ")</f>
        <v>0.51937345424567194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7.4850299401197598E-2</v>
      </c>
      <c r="AW20" s="1093">
        <f>IF(ISNUMBER((Datos!Q20-Datos!R20)/(Datos!S20-Datos!Q20+Datos!R20)),(Datos!Q20-Datos!R20)/(Datos!S20-Datos!Q20+Datos!R20)," - ")</f>
        <v>-0.18703874538745388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19</v>
      </c>
      <c r="F21" s="1098">
        <f t="shared" si="4"/>
        <v>224</v>
      </c>
      <c r="G21" s="1098">
        <f t="shared" si="4"/>
        <v>224</v>
      </c>
      <c r="H21" s="1098">
        <f t="shared" si="4"/>
        <v>0</v>
      </c>
      <c r="I21" s="1099">
        <f t="shared" si="4"/>
        <v>0</v>
      </c>
      <c r="J21" s="1100">
        <f t="shared" si="4"/>
        <v>0</v>
      </c>
      <c r="K21" s="1100">
        <f t="shared" si="4"/>
        <v>0</v>
      </c>
      <c r="L21" s="1100">
        <f t="shared" si="4"/>
        <v>0</v>
      </c>
      <c r="M21" s="1100">
        <f t="shared" si="4"/>
        <v>0</v>
      </c>
      <c r="N21" s="1099">
        <f t="shared" si="4"/>
        <v>17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96</v>
      </c>
      <c r="AC21" s="1104">
        <f t="shared" si="5"/>
        <v>0</v>
      </c>
      <c r="AD21" s="1104">
        <f t="shared" si="5"/>
        <v>0</v>
      </c>
      <c r="AE21" s="1104">
        <f t="shared" si="5"/>
        <v>0</v>
      </c>
      <c r="AF21" s="1105">
        <f t="shared" si="5"/>
        <v>224</v>
      </c>
      <c r="AG21" s="1105">
        <f t="shared" si="5"/>
        <v>0</v>
      </c>
      <c r="AH21" s="1105">
        <f t="shared" si="5"/>
        <v>0</v>
      </c>
      <c r="AI21" s="1105">
        <f t="shared" si="5"/>
        <v>0</v>
      </c>
      <c r="AJ21" s="1106">
        <f t="shared" si="5"/>
        <v>0</v>
      </c>
      <c r="AK21" s="1106">
        <f t="shared" si="5"/>
        <v>0</v>
      </c>
      <c r="AL21" s="1098">
        <f t="shared" si="5"/>
        <v>27</v>
      </c>
      <c r="AM21" s="1098">
        <f t="shared" si="5"/>
        <v>37</v>
      </c>
      <c r="AN21" s="1098">
        <f t="shared" si="5"/>
        <v>0</v>
      </c>
      <c r="AO21" s="1098">
        <f t="shared" si="5"/>
        <v>0</v>
      </c>
      <c r="AP21" s="1098">
        <f>IF(ISNUMBER(((Datos!L21/Datos!K21)*11)/factor_trimestre),((Datos!L21/Datos!K21)*11)/factor_trimestre," - ")</f>
        <v>4.2164139749505605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-0.42857142857142855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2.6505016722408025E-2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149.33333333333334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7.7858235029473679</v>
      </c>
      <c r="F23" s="870">
        <f>IF(ISNUMBER(STDEV(F8:F20)),STDEV(F8:F20),"-")</f>
        <v>129.32646029847618</v>
      </c>
      <c r="G23" s="871">
        <f>IF(ISNUMBER(STDEV(G8:G20)),STDEV(G8:G20),"-")</f>
        <v>129.32646029847618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55.42562584220407</v>
      </c>
      <c r="AC23" s="872">
        <f>IF(ISNUMBER(STDEV(AC8:AC20)),STDEV(AC8:AC20),"-")</f>
        <v>0</v>
      </c>
      <c r="AD23" s="875"/>
      <c r="AE23" s="875"/>
      <c r="AF23" s="875"/>
      <c r="AG23" s="875"/>
      <c r="AH23" s="875"/>
      <c r="AI23" s="875"/>
      <c r="AJ23" s="876">
        <f>IF(ISNUMBER(STDEV(AJ8:AJ20)),STDEV(AJ8:AJ20),"-")</f>
        <v>0</v>
      </c>
      <c r="AK23" s="878"/>
      <c r="AL23" s="870">
        <f>IF(ISNUMBER(STDEV(AL8:AL20)),STDEV(AL8:AL20),"-")</f>
        <v>15.588457268119896</v>
      </c>
      <c r="AM23" s="870"/>
      <c r="AN23" s="870">
        <f>IF(ISNUMBER(STDEV(AN8:AN20)),STDEV(AN8:AN20),"-")</f>
        <v>0</v>
      </c>
      <c r="AO23" s="876">
        <f>IF(ISNUMBER(STDEV(AO8:AO20)),STDEV(AO8:AO20),"-")</f>
        <v>0</v>
      </c>
      <c r="AP23" s="923">
        <f>IF(ISNUMBER(STDEV(AP8:AP20)),STDEV(AP8:AP20),"-")</f>
        <v>3.2278278621006389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6FJwaEn+pFCOc94zSoCArGCd7UmogfxAqDFDGgDvaL21GV1KCRBi+/zF1eRqtnUOwzvU6ZJZg3h9HjG3o8aDg==" saltValue="aeeiD9bQn57/QwhBykLS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LAS PALMAS</v>
      </c>
      <c r="C3" s="427"/>
      <c r="F3" s="400"/>
      <c r="G3" s="400"/>
      <c r="H3" s="400"/>
    </row>
    <row r="4" spans="1:15" ht="13.5" thickBot="1">
      <c r="A4" s="400"/>
      <c r="B4" s="403" t="str">
        <f>Criterios!A11 &amp;"  "&amp;Criterios!B11</f>
        <v>Resumenes por Partidos Judiciales  LAS PALMAS DE GRAN CANARIA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14</v>
      </c>
      <c r="D9" s="415">
        <f>Datos!BK9</f>
        <v>0</v>
      </c>
      <c r="E9" s="415">
        <f>Datos!AQ9</f>
        <v>14</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2</v>
      </c>
      <c r="D10" s="415">
        <f>Datos!BK10</f>
        <v>0</v>
      </c>
      <c r="E10" s="415">
        <f>Datos!AQ10</f>
        <v>2</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3</v>
      </c>
      <c r="D11" s="415">
        <f>Datos!BK11</f>
        <v>0</v>
      </c>
      <c r="E11" s="415">
        <f>Datos!AQ11</f>
        <v>3</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8</v>
      </c>
      <c r="D16" s="415">
        <f>Datos!BK16</f>
        <v>0</v>
      </c>
      <c r="E16" s="415">
        <f>Datos!AQ16</f>
        <v>8</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2</v>
      </c>
      <c r="D18" s="415">
        <f>Datos!BK18</f>
        <v>0</v>
      </c>
      <c r="E18" s="415">
        <f>Datos!AQ18</f>
        <v>2</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KmpP+pEdWREH74LI6FkA4wmy3LnlhcA9R8nMFIgaQYOLBq6+4V6jMTv6Y/d+9oE8xoGpaV7tgITtXmD+bGU3w==" saltValue="3i4YumWVUdublsaAWvtDF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LAS PALMAS</v>
      </c>
      <c r="C3" s="439"/>
      <c r="D3" s="440"/>
    </row>
    <row r="4" spans="1:9" ht="13.5" thickBot="1">
      <c r="B4" s="441" t="str">
        <f>Criterios!A11 &amp;"  "&amp;Criterios!B11</f>
        <v>Resumenes por Partidos Judiciales  LAS PALMAS DE GRAN CANARIA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14</v>
      </c>
      <c r="C9" s="422">
        <f>Datos!AQ9</f>
        <v>14</v>
      </c>
      <c r="D9" s="415">
        <f>IF(ISNUMBER(Datos!M9),Datos!M9," - ")</f>
        <v>1258</v>
      </c>
      <c r="E9" s="416">
        <f t="shared" ref="E9:E14" si="0">IF(ISNUMBER(D9/B9),D9/B9," - ")</f>
        <v>89.857142857142861</v>
      </c>
      <c r="F9" s="415">
        <f>IF(ISNUMBER(Datos!N9),Datos!N9," - ")</f>
        <v>3308</v>
      </c>
      <c r="G9" s="416">
        <f t="shared" ref="G9:G14" si="1">IF(ISNUMBER(F9/B9),F9/B9," - ")</f>
        <v>236.28571428571428</v>
      </c>
      <c r="H9" s="415">
        <f>IF(ISNUMBER(Datos!O9),Datos!O9," - ")</f>
        <v>1894</v>
      </c>
      <c r="I9" s="416">
        <f>IF(ISNUMBER(H9/B9),H9/B9," - ")</f>
        <v>135.28571428571428</v>
      </c>
    </row>
    <row r="10" spans="1:9">
      <c r="A10" s="414" t="str">
        <f>Datos!A10</f>
        <v>Jdos. Violencia contra la mujer</v>
      </c>
      <c r="B10" s="444">
        <f>Datos!AO10</f>
        <v>2</v>
      </c>
      <c r="C10" s="422">
        <f>Datos!AQ10</f>
        <v>2</v>
      </c>
      <c r="D10" s="415">
        <f>IF(ISNUMBER(Datos!M10),Datos!M10," - ")</f>
        <v>27</v>
      </c>
      <c r="E10" s="416">
        <f>IF(ISNUMBER(D10/B10),D10/B10," - ")</f>
        <v>13.5</v>
      </c>
      <c r="F10" s="415">
        <f>IF(ISNUMBER(Datos!N10),Datos!N10," - ")</f>
        <v>37</v>
      </c>
      <c r="G10" s="416">
        <f>IF(ISNUMBER(F10/B10),F10/B10," - ")</f>
        <v>18.5</v>
      </c>
      <c r="H10" s="415">
        <f>IF(ISNUMBER(Datos!O10),Datos!O10," - ")</f>
        <v>13</v>
      </c>
      <c r="I10" s="416">
        <f t="shared" ref="I10:I13" si="2">IF(ISNUMBER(H10/B10),H10/B10," - ")</f>
        <v>6.5</v>
      </c>
    </row>
    <row r="11" spans="1:9">
      <c r="A11" s="414" t="str">
        <f>Datos!A11</f>
        <v xml:space="preserve">Jdos. Familia                                   </v>
      </c>
      <c r="B11" s="444">
        <f>Datos!AO11</f>
        <v>3</v>
      </c>
      <c r="C11" s="422">
        <f>Datos!AQ11</f>
        <v>3</v>
      </c>
      <c r="D11" s="415">
        <f>IF(ISNUMBER(Datos!M11),Datos!M11," - ")</f>
        <v>195</v>
      </c>
      <c r="E11" s="416">
        <f t="shared" si="0"/>
        <v>65</v>
      </c>
      <c r="F11" s="415">
        <f>IF(ISNUMBER(Datos!N11),Datos!N11," - ")</f>
        <v>657</v>
      </c>
      <c r="G11" s="416">
        <f t="shared" si="1"/>
        <v>219</v>
      </c>
      <c r="H11" s="415">
        <f>IF(ISNUMBER(Datos!O11),Datos!O11," - ")</f>
        <v>282</v>
      </c>
      <c r="I11" s="416">
        <f t="shared" si="2"/>
        <v>94</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19</v>
      </c>
      <c r="C14" s="998">
        <f>Datos!AR14</f>
        <v>19</v>
      </c>
      <c r="D14" s="996">
        <f>SUBTOTAL(9,D9:D13)</f>
        <v>1480</v>
      </c>
      <c r="E14" s="997">
        <f t="shared" si="0"/>
        <v>77.89473684210526</v>
      </c>
      <c r="F14" s="996">
        <f>SUBTOTAL(9,F9:F13)</f>
        <v>4002</v>
      </c>
      <c r="G14" s="997">
        <f t="shared" si="1"/>
        <v>210.63157894736841</v>
      </c>
      <c r="H14" s="996">
        <f>SUBTOTAL(9,H9:H13)</f>
        <v>2189</v>
      </c>
      <c r="I14" s="997">
        <f>IF(ISNUMBER(H14/B14),H14/B14," - ")</f>
        <v>115.21052631578948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8</v>
      </c>
      <c r="C16" s="445">
        <f>Datos!AQ16</f>
        <v>8</v>
      </c>
      <c r="D16" s="415">
        <f>IF(ISNUMBER(Datos!M16),Datos!M16," - ")</f>
        <v>656</v>
      </c>
      <c r="E16" s="416">
        <f t="shared" ref="E16:E20" si="3">IF(ISNUMBER(D16/B16),D16/B16," - ")</f>
        <v>82</v>
      </c>
      <c r="F16" s="415">
        <f>IF(ISNUMBER(Datos!N16),Datos!N16," - ")</f>
        <v>5546</v>
      </c>
      <c r="G16" s="416">
        <f t="shared" ref="G16:G20" si="4">IF(ISNUMBER(F16/B16),F16/B16," - ")</f>
        <v>693.25</v>
      </c>
      <c r="H16" s="415">
        <f>IF(ISNUMBER(Datos!O16),Datos!O16," - ")</f>
        <v>196</v>
      </c>
      <c r="I16" s="416">
        <f t="shared" ref="I16:I19" si="5">IF(ISNUMBER(H16/B16),H16/B16," - ")</f>
        <v>24.5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2</v>
      </c>
      <c r="D18" s="415">
        <f>IF(ISNUMBER(Datos!M18),Datos!M18," - ")</f>
        <v>184</v>
      </c>
      <c r="E18" s="416">
        <f>IF(ISNUMBER(D18/B18),D18/B18," - ")</f>
        <v>92</v>
      </c>
      <c r="F18" s="415">
        <f>IF(ISNUMBER(Datos!N18),Datos!N18," - ")</f>
        <v>549</v>
      </c>
      <c r="G18" s="416">
        <f>IF(ISNUMBER(F18/B18),F18/B18," - ")</f>
        <v>274.5</v>
      </c>
      <c r="H18" s="415">
        <f>IF(ISNUMBER(Datos!O18),Datos!O18," - ")</f>
        <v>17</v>
      </c>
      <c r="I18" s="416">
        <f t="shared" si="5"/>
        <v>8.5</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10</v>
      </c>
      <c r="C20" s="998">
        <f>Datos!AR20</f>
        <v>10</v>
      </c>
      <c r="D20" s="996">
        <f>SUBTOTAL(9,D16:D19)</f>
        <v>840</v>
      </c>
      <c r="E20" s="997">
        <f t="shared" si="3"/>
        <v>84</v>
      </c>
      <c r="F20" s="996">
        <f>SUBTOTAL(9,F16:F19)</f>
        <v>6095</v>
      </c>
      <c r="G20" s="997">
        <f t="shared" si="4"/>
        <v>609.5</v>
      </c>
      <c r="H20" s="996">
        <f>SUBTOTAL(9,H16:H19)</f>
        <v>213</v>
      </c>
      <c r="I20" s="997">
        <f>IF(ISNUMBER(H20/B20),H20/B20," - ")</f>
        <v>21.3</v>
      </c>
    </row>
    <row r="21" spans="1:9" ht="14.25" thickTop="1" thickBot="1">
      <c r="A21" s="940" t="str">
        <f>Datos!A21</f>
        <v>TOTAL JURISDICCIONES</v>
      </c>
      <c r="B21" s="941">
        <f>Datos!AP21</f>
        <v>27</v>
      </c>
      <c r="C21" s="941">
        <f>Datos!AR21</f>
        <v>27</v>
      </c>
      <c r="D21" s="941">
        <f>SUBTOTAL(9,D8:D20)</f>
        <v>2320</v>
      </c>
      <c r="E21" s="942">
        <f>IF(ISNUMBER(D21/B21),D21/B21," - ")</f>
        <v>85.925925925925924</v>
      </c>
      <c r="F21" s="941">
        <f>SUBTOTAL(9,F8:F20)</f>
        <v>10097</v>
      </c>
      <c r="G21" s="942">
        <f>IF(ISNUMBER(F21/B21),F21/B21," - ")</f>
        <v>373.96296296296299</v>
      </c>
      <c r="H21" s="941">
        <f>SUBTOTAL(9,H8:H20)</f>
        <v>2402</v>
      </c>
      <c r="I21" s="942">
        <f>IF(ISNUMBER(H21/B21),H21/B21," - ")</f>
        <v>88.962962962962962</v>
      </c>
    </row>
    <row r="24" spans="1:9">
      <c r="A24" s="403" t="str">
        <f>Criterios!A4</f>
        <v>Fecha Informe: 06 jun. 2023</v>
      </c>
    </row>
    <row r="29" spans="1:9">
      <c r="A29" s="426"/>
    </row>
  </sheetData>
  <sheetProtection algorithmName="SHA-512" hashValue="dH38Ngj6s8IXSDezHM58G5xSU/Ksm9O0x/ybxUP926RmYG+Ra6Wa8EeRHKVTaDzrbVslNSVhf7mhTu9kJwridQ==" saltValue="vCaM0EGxYp4zbPhkn58N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LAS PALMAS</v>
      </c>
    </row>
    <row r="4" spans="1:4" ht="13.5" thickBot="1">
      <c r="B4" s="403" t="str">
        <f>Criterios!A11 &amp;"  "&amp;Criterios!B11</f>
        <v>Resumenes por Partidos Judiciales  LAS PALMAS DE GRAN CANARIA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1693</v>
      </c>
      <c r="C9" s="451">
        <f>IF(ISNUMBER(Datos!Q9),Datos!Q9," - ")</f>
        <v>1163</v>
      </c>
      <c r="D9" s="420">
        <f>IF(ISNUMBER(Datos!R9),Datos!R9," - ")</f>
        <v>22047</v>
      </c>
    </row>
    <row r="10" spans="1:4">
      <c r="A10" s="414" t="str">
        <f>Datos!A10</f>
        <v>Jdos. Violencia contra la mujer</v>
      </c>
      <c r="B10" s="450">
        <f>IF(ISNUMBER(Datos!P10),Datos!P10," - ")</f>
        <v>17</v>
      </c>
      <c r="C10" s="451">
        <f>IF(ISNUMBER(Datos!Q10),Datos!Q10," - ")</f>
        <v>8</v>
      </c>
      <c r="D10" s="420">
        <f>IF(ISNUMBER(Datos!R10),Datos!R10," - ")</f>
        <v>161</v>
      </c>
    </row>
    <row r="11" spans="1:4">
      <c r="A11" s="414" t="str">
        <f>Datos!A11</f>
        <v xml:space="preserve">Jdos. Familia                                   </v>
      </c>
      <c r="B11" s="450">
        <f>IF(ISNUMBER(Datos!P11),Datos!P11," - ")</f>
        <v>53</v>
      </c>
      <c r="C11" s="451">
        <f>IF(ISNUMBER(Datos!Q11),Datos!Q11," - ")</f>
        <v>33</v>
      </c>
      <c r="D11" s="420">
        <f>IF(ISNUMBER(Datos!R11),Datos!R11," - ")</f>
        <v>1269</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1763</v>
      </c>
      <c r="C14" s="1000">
        <f>SUBTOTAL(9,C9:C13)</f>
        <v>1204</v>
      </c>
      <c r="D14" s="998">
        <f>SUBTOTAL(9,D9:D13)</f>
        <v>23477</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309</v>
      </c>
      <c r="C16" s="451">
        <f>IF(ISNUMBER(Datos!Q16),Datos!Q16," - ")</f>
        <v>228</v>
      </c>
      <c r="D16" s="420">
        <f>IF(ISNUMBER(Datos!R16),Datos!R16," - ")</f>
        <v>1014</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32</v>
      </c>
      <c r="C18" s="451">
        <f>IF(ISNUMBER(Datos!Q18),Datos!Q18," - ")</f>
        <v>38</v>
      </c>
      <c r="D18" s="420">
        <f>IF(ISNUMBER(Datos!R18),Datos!R18," - ")</f>
        <v>63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341</v>
      </c>
      <c r="C20" s="1000">
        <f>SUBTOTAL(9,C16:C19)</f>
        <v>266</v>
      </c>
      <c r="D20" s="998">
        <f>SUBTOTAL(9,D16:D19)</f>
        <v>1077</v>
      </c>
    </row>
    <row r="21" spans="1:4" ht="16.5" customHeight="1" thickTop="1" thickBot="1">
      <c r="A21" s="940" t="str">
        <f>Datos!A21</f>
        <v>TOTAL JURISDICCIONES</v>
      </c>
      <c r="B21" s="945">
        <f>SUBTOTAL(9,B8:B20)</f>
        <v>2104</v>
      </c>
      <c r="C21" s="946">
        <f>SUBTOTAL(9,C8:C20)</f>
        <v>1470</v>
      </c>
      <c r="D21" s="947">
        <f>SUBTOTAL(9,D8:D20)</f>
        <v>24554</v>
      </c>
    </row>
    <row r="22" spans="1:4" ht="7.5" customHeight="1"/>
    <row r="23" spans="1:4" ht="6" customHeight="1"/>
    <row r="24" spans="1:4">
      <c r="A24" s="403" t="str">
        <f>Criterios!A4</f>
        <v>Fecha Informe: 06 jun. 2023</v>
      </c>
    </row>
    <row r="29" spans="1:4">
      <c r="A29" s="426"/>
    </row>
  </sheetData>
  <sheetProtection algorithmName="SHA-512" hashValue="4bewpjPQlnPEj6VtSwjJzE/W4bCj/mSDY3UJ0GmMkIdSxxRzBONpLp3q5nDmSFpFH65OL8YTT0xtGKpbYWl0lA==" saltValue="r2DS770qrXk11mtXNpyl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LAS PALMAS</v>
      </c>
    </row>
    <row r="4" spans="1:11" ht="10.5" customHeight="1" thickBot="1">
      <c r="B4" s="403" t="str">
        <f>Criterios!A11 &amp;"  "&amp;Criterios!B11</f>
        <v>Resumenes por Partidos Judiciales  LAS PALMAS DE GRAN CANARIA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0.31576797385620914</v>
      </c>
      <c r="C9" s="473">
        <f>IF(ISNUMBER(
   IF(J_V="SI",(Datos!J9-Datos!T9)/Datos!T9,(Datos!J9+Datos!Z9-(Datos!T9+Datos!AH9))/(Datos!T9+Datos!AH9))
     ),IF(J_V="SI",(Datos!J9-Datos!T9)/Datos!T9,(Datos!J9+Datos!Z9-(Datos!T9+Datos!AH9))/(Datos!T9+Datos!AH9))," - ")</f>
        <v>-3.5865219874357507E-2</v>
      </c>
      <c r="D9" s="473">
        <f>IF(ISNUMBER(
   IF(J_V="SI",(Datos!K9-Datos!U9)/Datos!U9,(Datos!K9+Datos!AA9-(Datos!U9+Datos!AI9))/(Datos!U9+Datos!AI9))
     ),IF(J_V="SI",(Datos!K9-Datos!U9)/Datos!U9,(Datos!K9+Datos!AA9-(Datos!U9+Datos!AI9))/(Datos!U9+Datos!AI9))," - ")</f>
        <v>-0.22095878020416074</v>
      </c>
      <c r="E9" s="473">
        <f>IF(ISNUMBER(
   IF(J_V="SI",(Datos!L9-Datos!V9)/Datos!V9,(Datos!L9+Datos!AB9-(Datos!V9+Datos!AJ9))/(Datos!V9+Datos!AJ9))
     ),IF(J_V="SI",(Datos!L9-Datos!V9)/Datos!V9,(Datos!L9+Datos!AB9-(Datos!V9+Datos!AJ9))/(Datos!V9+Datos!AJ9))," - ")</f>
        <v>0.40507736495876956</v>
      </c>
      <c r="F9" s="473">
        <f>IF(ISNUMBER((Datos!M9-Datos!W9)/Datos!W9),(Datos!M9-Datos!W9)/Datos!W9," - ")</f>
        <v>-0.17399868680236374</v>
      </c>
      <c r="G9" s="474">
        <f>IF(ISNUMBER((Datos!N9-Datos!X9)/Datos!X9),(Datos!N9-Datos!X9)/Datos!X9," - ")</f>
        <v>-0.13038906414300735</v>
      </c>
      <c r="H9" s="472">
        <f>IF(ISNUMBER(((NºAsuntos!G9/NºAsuntos!E9)-Datos!BD9)/Datos!BD9),((NºAsuntos!G9/NºAsuntos!E9)-Datos!BD9)/Datos!BD9," - ")</f>
        <v>-0.19197892674889552</v>
      </c>
      <c r="I9" s="473">
        <f>IF(ISNUMBER(((NºAsuntos!I9/NºAsuntos!G9)-Datos!BE9)/Datos!BE9),((NºAsuntos!I9/NºAsuntos!G9)-Datos!BE9)/Datos!BE9," - ")</f>
        <v>0.80359822979199158</v>
      </c>
      <c r="J9" s="478">
        <f>IF(ISNUMBER((('Resol  Asuntos'!D9/NºAsuntos!G9)-Datos!BF9)/Datos!BF9),(('Resol  Asuntos'!D9/NºAsuntos!G9)-Datos!BF9)/Datos!BF9," - ")</f>
        <v>-0.57549804406636751</v>
      </c>
      <c r="K9" s="479">
        <f>IF(ISNUMBER((((NºAsuntos!C9+NºAsuntos!E9)/NºAsuntos!G9)-Datos!BG9)/Datos!BG9),(((NºAsuntos!C9+NºAsuntos!E9)/NºAsuntos!G9)-Datos!BG9)/Datos!BG9," - ")</f>
        <v>0.47589319618465292</v>
      </c>
    </row>
    <row r="10" spans="1:11">
      <c r="A10" s="414" t="str">
        <f>Datos!A10</f>
        <v>Jdos. Violencia contra la mujer</v>
      </c>
      <c r="B10" s="472">
        <f>IF(ISNUMBER((Datos!I10-Datos!S10)/Datos!S10),(Datos!I10-Datos!S10)/Datos!S10," - ")</f>
        <v>0.47368421052631576</v>
      </c>
      <c r="C10" s="473">
        <f>IF(ISNUMBER((Datos!J10-Datos!T10)/Datos!T10),(Datos!J10-Datos!T10)/Datos!T10," - ")</f>
        <v>9.0909090909090912E-2</v>
      </c>
      <c r="D10" s="473">
        <f>IF(ISNUMBER((Datos!K10-Datos!U10)/Datos!U10),(Datos!K10-Datos!U10)/Datos!U10," - ")</f>
        <v>0.77777777777777779</v>
      </c>
      <c r="E10" s="473">
        <f>IF(ISNUMBER((Datos!L10-Datos!V10)/Datos!V10),(Datos!L10-Datos!V10)/Datos!V10," - ")</f>
        <v>0.14285714285714285</v>
      </c>
      <c r="F10" s="473">
        <f>IF(ISNUMBER((Datos!M10-Datos!W10)/Datos!W10),(Datos!M10-Datos!W10)/Datos!W10," - ")</f>
        <v>0.17391304347826086</v>
      </c>
      <c r="G10" s="474">
        <f>IF(ISNUMBER((Datos!N10-Datos!X10)/Datos!X10),(Datos!N10-Datos!X10)/Datos!X10," - ")</f>
        <v>0.23333333333333334</v>
      </c>
      <c r="H10" s="472">
        <f>IF(ISNUMBER(((NºAsuntos!G10/NºAsuntos!E10)-Datos!BD10)/Datos!BD10),((NºAsuntos!G10/NºAsuntos!E10)-Datos!BD10)/Datos!BD10," - ")</f>
        <v>0.62962962962962965</v>
      </c>
      <c r="I10" s="473">
        <f>IF(ISNUMBER(((NºAsuntos!I10/NºAsuntos!G10)-Datos!BE10)/Datos!BE10),((NºAsuntos!I10/NºAsuntos!G10)-Datos!BE10)/Datos!BE10," - ")</f>
        <v>-0.35714285714285715</v>
      </c>
      <c r="J10" s="478">
        <f>IF(ISNUMBER((('Resol  Asuntos'!D10/NºAsuntos!G10)-Datos!BF10)/Datos!BF10),(('Resol  Asuntos'!D10/NºAsuntos!G10)-Datos!BF10)/Datos!BF10," - ")</f>
        <v>-0.33967391304347827</v>
      </c>
      <c r="K10" s="479">
        <f>IF(ISNUMBER((((NºAsuntos!C10+NºAsuntos!E10)/NºAsuntos!G10)-Datos!BG10)/Datos!BG10),(((NºAsuntos!C10+NºAsuntos!E10)/NºAsuntos!G10)-Datos!BG10)/Datos!BG10," - ")</f>
        <v>-0.25</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5.2005943536404163E-2</v>
      </c>
      <c r="C11" s="473">
        <f>IF(ISNUMBER(
   IF(J_V="SI",(Datos!J11-Datos!T11)/Datos!T11,(Datos!J11+Datos!Z11-(Datos!T11+Datos!AH11))/(Datos!T11+Datos!AH11))
     ),IF(J_V="SI",(Datos!J11-Datos!T11)/Datos!T11,(Datos!J11+Datos!Z11-(Datos!T11+Datos!AH11))/(Datos!T11+Datos!AH11))," - ")</f>
        <v>-5.968402574605032E-2</v>
      </c>
      <c r="D11" s="473">
        <f>IF(ISNUMBER(
   IF(J_V="SI",(Datos!K11-Datos!U11)/Datos!U11,(Datos!K11+Datos!AA11-(Datos!U11+Datos!AI11))/(Datos!U11+Datos!AI11))
     ),IF(J_V="SI",(Datos!K11-Datos!U11)/Datos!U11,(Datos!K11+Datos!AA11-(Datos!U11+Datos!AI11))/(Datos!U11+Datos!AI11))," - ")</f>
        <v>-0.29987531172069826</v>
      </c>
      <c r="E11" s="473">
        <f>IF(ISNUMBER(
   IF(J_V="SI",(Datos!L11-Datos!V11)/Datos!V11,(Datos!L11+Datos!AB11-(Datos!V11+Datos!AJ11))/(Datos!V11+Datos!AJ11))
     ),IF(J_V="SI",(Datos!L11-Datos!V11)/Datos!V11,(Datos!L11+Datos!AB11-(Datos!V11+Datos!AJ11))/(Datos!V11+Datos!AJ11))," - ")</f>
        <v>0.32867132867132864</v>
      </c>
      <c r="F11" s="473">
        <f>IF(ISNUMBER((Datos!M11-Datos!W11)/Datos!W11),(Datos!M11-Datos!W11)/Datos!W11," - ")</f>
        <v>-0.513715710723192</v>
      </c>
      <c r="G11" s="474">
        <f>IF(ISNUMBER((Datos!N11-Datos!X11)/Datos!X11),(Datos!N11-Datos!X11)/Datos!X11," - ")</f>
        <v>-0.1918819188191882</v>
      </c>
      <c r="H11" s="472">
        <f>IF(ISNUMBER(((NºAsuntos!G11/NºAsuntos!E11)-Datos!BD11)/Datos!BD11),((NºAsuntos!G11/NºAsuntos!E11)-Datos!BD11)/Datos!BD11," - ")</f>
        <v>-0.25543678141298892</v>
      </c>
      <c r="I11" s="473">
        <f>IF(ISNUMBER(((NºAsuntos!I11/NºAsuntos!G11)-Datos!BE11)/Datos!BE11),((NºAsuntos!I11/NºAsuntos!G11)-Datos!BE11)/Datos!BE11," - ")</f>
        <v>0.8977638568021471</v>
      </c>
      <c r="J11" s="478">
        <f>IF(ISNUMBER((('Resol  Asuntos'!D11/NºAsuntos!G11)-Datos!BF11)/Datos!BF11),(('Resol  Asuntos'!D11/NºAsuntos!G11)-Datos!BF11)/Datos!BF11," - ")</f>
        <v>-0.6574147397751805</v>
      </c>
      <c r="K11" s="479">
        <f>IF(ISNUMBER((((NºAsuntos!C11+NºAsuntos!E11)/NºAsuntos!G11)-Datos!BG11)/Datos!BG11),(((NºAsuntos!C11+NºAsuntos!E11)/NºAsuntos!G11)-Datos!BG11)/Datos!BG11," - ")</f>
        <v>0.41335591333128335</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0.28644818423383528</v>
      </c>
      <c r="C14" s="1002">
        <f>IF(ISNUMBER(
   IF(J_V="SI",(Datos!J14-Datos!T14)/Datos!T14,(Datos!J14+Datos!Z14-(Datos!T14+Datos!AH14))/(Datos!T14+Datos!AH14))
     ),IF(J_V="SI",(Datos!J14-Datos!T14)/Datos!T14,(Datos!J14+Datos!Z14-(Datos!T14+Datos!AH14))/(Datos!T14+Datos!AH14))," - ")</f>
        <v>-3.8665655799848368E-2</v>
      </c>
      <c r="D14" s="1002">
        <f>IF(ISNUMBER(
   IF(J_V="SI",(Datos!K14-Datos!U14)/Datos!U14,(Datos!K14+Datos!AA14-(Datos!U14+Datos!AI14))/(Datos!U14+Datos!AI14))
     ),IF(J_V="SI",(Datos!K14-Datos!U14)/Datos!U14,(Datos!K14+Datos!AA14-(Datos!U14+Datos!AI14))/(Datos!U14+Datos!AI14))," - ")</f>
        <v>-0.22869000744918591</v>
      </c>
      <c r="E14" s="1002">
        <f>IF(ISNUMBER(
   IF(J_V="SI",(Datos!L14-Datos!V14)/Datos!V14,(Datos!L14+Datos!AB14-(Datos!V14+Datos!AJ14))/(Datos!V14+Datos!AJ14))
     ),IF(J_V="SI",(Datos!L14-Datos!V14)/Datos!V14,(Datos!L14+Datos!AB14-(Datos!V14+Datos!AJ14))/(Datos!V14+Datos!AJ14))," - ")</f>
        <v>0.39214107416056043</v>
      </c>
      <c r="F14" s="1003">
        <f>IF(ISNUMBER((Datos!M14-Datos!W14)/Datos!W14),(Datos!M14-Datos!W14)/Datos!W14," - ")</f>
        <v>-0.23985618900873137</v>
      </c>
      <c r="G14" s="1004">
        <f>IF(ISNUMBER((Datos!N14-Datos!X14)/Datos!X14),(Datos!N14-Datos!X14)/Datos!X14," - ")</f>
        <v>-0.13879922530664945</v>
      </c>
      <c r="H14" s="1004">
        <f>IF(ISNUMBER(((NºAsuntos!G14/NºAsuntos!E14)-Datos!BD14)/Datos!BD14),((NºAsuntos!G14/NºAsuntos!E14)-Datos!BD14)/Datos!BD14," - ")</f>
        <v>-0.19766728692860902</v>
      </c>
      <c r="I14" s="1004">
        <f>IF(ISNUMBER(((NºAsuntos!I14/NºAsuntos!G14)-Datos!BE14)/Datos!BE14),((NºAsuntos!I14/NºAsuntos!G14)-Datos!BE14)/Datos!BE14," - ")</f>
        <v>0.80490475633095859</v>
      </c>
      <c r="J14" s="1004">
        <f>IF(ISNUMBER((('Resol  Asuntos'!D14/NºAsuntos!G14)-Datos!BF14)/Datos!BF14),(('Resol  Asuntos'!D14/NºAsuntos!G14)-Datos!BF14)/Datos!BF14," - ")</f>
        <v>-0.58646261513283093</v>
      </c>
      <c r="K14" s="1004">
        <f>IF(ISNUMBER((((NºAsuntos!C14+NºAsuntos!E14)/NºAsuntos!G14)-Datos!BG14)/Datos!BG14),(((NºAsuntos!C14+NºAsuntos!E14)/NºAsuntos!G14)-Datos!BG14)/Datos!BG14," - ")</f>
        <v>0.46424105349820172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0.15526924347538817</v>
      </c>
      <c r="C16" s="473">
        <f>IF(ISNUMBER(
   IF(D_I="SI",(Datos!J16-Datos!T16)/Datos!T16,(Datos!J16+Datos!AD16-(Datos!T16+Datos!AL16))/(Datos!T16+Datos!AL16))
     ),IF(D_I="SI",(Datos!J16-Datos!T16)/Datos!T16,(Datos!J16+Datos!AD16-(Datos!T16+Datos!AL16))/(Datos!T16+Datos!AL16))," - ")</f>
        <v>5.7498444306160551E-2</v>
      </c>
      <c r="D16" s="473">
        <f>IF(ISNUMBER(
   IF(D_I="SI",(Datos!K16-Datos!U16)/Datos!U16,(Datos!K16+Datos!AE16-(Datos!U16+Datos!AM16))/(Datos!U16+Datos!AM16))
     ),IF(D_I="SI",(Datos!K16-Datos!U16)/Datos!U16,(Datos!K16+Datos!AE16-(Datos!U16+Datos!AM16))/(Datos!U16+Datos!AM16))," - ")</f>
        <v>-4.312063808574277E-2</v>
      </c>
      <c r="E16" s="473">
        <f>IF(ISNUMBER(
   IF(D_I="SI",(Datos!L16-Datos!V16)/Datos!V16,(Datos!L16+Datos!AF16-(Datos!V16+Datos!AN16))/(Datos!V16+Datos!AN16))
     ),IF(D_I="SI",(Datos!L16-Datos!V16)/Datos!V16,(Datos!L16+Datos!AF16-(Datos!V16+Datos!AN16))/(Datos!V16+Datos!AN16))," - ")</f>
        <v>0.38018575851393188</v>
      </c>
      <c r="F16" s="473">
        <f>IF(ISNUMBER((Datos!M16-Datos!W16)/Datos!W16),(Datos!M16-Datos!W16)/Datos!W16," - ")</f>
        <v>-0.29538131041890442</v>
      </c>
      <c r="G16" s="474">
        <f>IF(ISNUMBER((Datos!N16-Datos!X16)/Datos!X16),(Datos!N16-Datos!X16)/Datos!X16," - ")</f>
        <v>6.1683599419448476E-3</v>
      </c>
      <c r="H16" s="472">
        <f>IF(ISNUMBER(((NºAsuntos!G16/NºAsuntos!E16)-Datos!BD16)/Datos!BD16),((NºAsuntos!G16/NºAsuntos!E16)-Datos!BD16)/Datos!BD16," - ")</f>
        <v>-9.5148208428732881E-2</v>
      </c>
      <c r="I16" s="473">
        <f>IF(ISNUMBER(((NºAsuntos!I16/NºAsuntos!G16)-Datos!BE16)/Datos!BE16),((NºAsuntos!I16/NºAsuntos!G16)-Datos!BE16)/Datos!BE16," - ")</f>
        <v>0.44238219931177264</v>
      </c>
      <c r="J16" s="478">
        <f>IF(ISNUMBER((('Resol  Asuntos'!D16/NºAsuntos!G16)-Datos!BF16)/Datos!BF16),(('Resol  Asuntos'!D16/NºAsuntos!G16)-Datos!BF16)/Datos!BF16," - ")</f>
        <v>-0.26362850153702644</v>
      </c>
      <c r="K16" s="479">
        <f>IF(ISNUMBER((((NºAsuntos!C16+NºAsuntos!E16)/NºAsuntos!G16)-Datos!BG16)/Datos!BG16),(((NºAsuntos!C16+NºAsuntos!E16)/NºAsuntos!G16)-Datos!BG16)/Datos!BG16," - ")</f>
        <v>0.13311294897136411</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-8.2329317269076302E-2</v>
      </c>
      <c r="C18" s="473">
        <f>IF(ISNUMBER(
   IF(D_I="SI",(Datos!J18-Datos!T18)/Datos!T18,(Datos!J18+Datos!AD18-(Datos!T18+Datos!AL18))/(Datos!T18+Datos!AL18))
     ),IF(D_I="SI",(Datos!J18-Datos!T18)/Datos!T18,(Datos!J18+Datos!AD18-(Datos!T18+Datos!AL18))/(Datos!T18+Datos!AL18))," - ")</f>
        <v>0.20534458509142053</v>
      </c>
      <c r="D18" s="473">
        <f>IF(ISNUMBER(
   IF(D_I="SI",(Datos!K18-Datos!U18)/Datos!U18,(Datos!K18+Datos!AE18-(Datos!U18+Datos!AM18))/(Datos!U18+Datos!AM18))
     ),IF(D_I="SI",(Datos!K18-Datos!U18)/Datos!U18,(Datos!K18+Datos!AE18-(Datos!U18+Datos!AM18))/(Datos!U18+Datos!AM18))," - ")</f>
        <v>0.42549923195084488</v>
      </c>
      <c r="E18" s="473">
        <f>IF(ISNUMBER(
   IF(D_I="SI",(Datos!L18-Datos!V18)/Datos!V18,(Datos!L18+Datos!AF18-(Datos!V18+Datos!AN18))/(Datos!V18+Datos!AN18))
     ),IF(D_I="SI",(Datos!L18-Datos!V18)/Datos!V18,(Datos!L18+Datos!AF18-(Datos!V18+Datos!AN18))/(Datos!V18+Datos!AN18))," - ")</f>
        <v>-0.29390681003584229</v>
      </c>
      <c r="F18" s="473">
        <f>IF(ISNUMBER((Datos!M18-Datos!W18)/Datos!W18),(Datos!M18-Datos!W18)/Datos!W18," - ")</f>
        <v>0.25170068027210885</v>
      </c>
      <c r="G18" s="474">
        <f>IF(ISNUMBER((Datos!N18-Datos!X18)/Datos!X18),(Datos!N18-Datos!X18)/Datos!X18," - ")</f>
        <v>0.61946902654867253</v>
      </c>
      <c r="H18" s="472">
        <f>IF(ISNUMBER(((NºAsuntos!G18/NºAsuntos!E18)-Datos!BD18)/Datos!BD18),((NºAsuntos!G18/NºAsuntos!E18)-Datos!BD18)/Datos!BD18," - ")</f>
        <v>0.18264872102339627</v>
      </c>
      <c r="I18" s="473">
        <f>IF(ISNUMBER(((NºAsuntos!I18/NºAsuntos!G18)-Datos!BE18)/Datos!BE18),((NºAsuntos!I18/NºAsuntos!G18)-Datos!BE18)/Datos!BE18," - ")</f>
        <v>-0.50466954022988508</v>
      </c>
      <c r="J18" s="478">
        <f>IF(ISNUMBER((('Resol  Asuntos'!D18/NºAsuntos!G18)-Datos!BF18)/Datos!BF18),(('Resol  Asuntos'!D18/NºAsuntos!G18)-Datos!BF18)/Datos!BF18," - ")</f>
        <v>-0.1219211822660098</v>
      </c>
      <c r="K18" s="479">
        <f>IF(ISNUMBER((((NºAsuntos!C18+NºAsuntos!E18)/NºAsuntos!G18)-Datos!BG18)/Datos!BG18),(((NºAsuntos!C18+NºAsuntos!E18)/NºAsuntos!G18)-Datos!BG18)/Datos!BG18," - ")</f>
        <v>-0.23756631299734751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0.12170212765957447</v>
      </c>
      <c r="C20" s="1002">
        <f>IF(ISNUMBER(
   IF(Criterios!B14="SI",(Datos!J20-Datos!T20)/Datos!T20,(Datos!J20+Datos!AD20-(Datos!T20+Datos!AL20))/(Datos!T20+Datos!AL20))
     ),IF(Criterios!B14="SI",(Datos!J20-Datos!T20)/Datos!T20,(Datos!J20+Datos!AD20-(Datos!T20+Datos!AL20))/(Datos!T20+Datos!AL20))," - ")</f>
        <v>6.951749371141093E-2</v>
      </c>
      <c r="D20" s="1002">
        <f>IF(ISNUMBER(
   IF(Criterios!B14="SI",(Datos!K20-Datos!U20)/Datos!U20,(Datos!K20+Datos!AE20-(Datos!U20+Datos!AM20))/(Datos!U20+Datos!AM20))
     ),IF(Criterios!B14="SI",(Datos!K20-Datos!U20)/Datos!U20,(Datos!K20+Datos!AE20-(Datos!U20+Datos!AM20))/(Datos!U20+Datos!AM20))," - ")</f>
        <v>-7.9538904899135454E-3</v>
      </c>
      <c r="E20" s="1002">
        <f>IF(ISNUMBER(
   IF(Criterios!B14="SI",(Datos!L20-Datos!V20)/Datos!V20,(Datos!L20+Datos!AF20-(Datos!V20+Datos!AN20))/(Datos!V20+Datos!AN20))
     ),IF(Criterios!B14="SI",(Datos!L20-Datos!V20)/Datos!V20,(Datos!L20+Datos!AF20-(Datos!V20+Datos!AN20))/(Datos!V20+Datos!AN20))," - ")</f>
        <v>0.28088701161562829</v>
      </c>
      <c r="F20" s="1003">
        <f>IF(ISNUMBER((Datos!M20-Datos!W20)/Datos!W20),(Datos!M20-Datos!W20)/Datos!W20," - ")</f>
        <v>-0.22077922077922077</v>
      </c>
      <c r="G20" s="1004">
        <f>IF(ISNUMBER((Datos!N20-Datos!X20)/Datos!X20),(Datos!N20-Datos!X20)/Datos!X20," - ")</f>
        <v>4.170227311570672E-2</v>
      </c>
      <c r="H20" s="1004">
        <f>IF(ISNUMBER(((NºAsuntos!G20/NºAsuntos!E20)-Datos!BD20)/Datos!BD20),((NºAsuntos!G20/NºAsuntos!E20)-Datos!BD20)/Datos!BD20," - ")</f>
        <v>-7.2435827049902091E-2</v>
      </c>
      <c r="I20" s="1004">
        <f>IF(ISNUMBER(((NºAsuntos!I20/NºAsuntos!G20)-Datos!BE20)/Datos!BE20),((NºAsuntos!I20/NºAsuntos!G20)-Datos!BE20)/Datos!BE20," - ")</f>
        <v>0.29115673085818905</v>
      </c>
      <c r="J20" s="1004">
        <f>IF(ISNUMBER((('Resol  Asuntos'!D20/NºAsuntos!G20)-Datos!BF20)/Datos!BF20),(('Resol  Asuntos'!D20/NºAsuntos!G20)-Datos!BF20)/Datos!BF20," - ")</f>
        <v>-0.21453169187308163</v>
      </c>
      <c r="K20" s="1004">
        <f>IF(ISNUMBER((((NºAsuntos!C20+NºAsuntos!E20)/NºAsuntos!G20)-Datos!BG20)/Datos!BG20),(((NºAsuntos!C20+NºAsuntos!E20)/NºAsuntos!G20)-Datos!BG20)/Datos!BG20," - ")</f>
        <v>9.320341024988904E-2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0.24724940938238271</v>
      </c>
      <c r="C21" s="949">
        <f>IF(ISNUMBER(
   IF(J_V="SI",(Datos!J21-Datos!T21)/Datos!T21,(Datos!J21+Datos!Z21-(Datos!T21+Datos!AH21))/(Datos!T21+Datos!AH21))
     ),IF(J_V="SI",(Datos!J21-Datos!T21)/Datos!T21,(Datos!J21+Datos!Z21-(Datos!T21+Datos!AH21))/(Datos!T21+Datos!AH21))," - ")</f>
        <v>1.0363768266141569E-2</v>
      </c>
      <c r="D21" s="949">
        <f>IF(ISNUMBER(
   IF(J_V="SI",(Datos!K21-Datos!U21)/Datos!U21,(Datos!K21+Datos!AA21-(Datos!U21+Datos!AI21))/(Datos!U21+Datos!AI21))
     ),IF(J_V="SI",(Datos!K21-Datos!U21)/Datos!U21,(Datos!K21+Datos!AA21-(Datos!U21+Datos!AI21))/(Datos!U21+Datos!AI21))," - ")</f>
        <v>-0.12273129703408588</v>
      </c>
      <c r="E21" s="949">
        <f>IF(ISNUMBER(
   IF(J_V="SI",(Datos!L21-Datos!V21)/Datos!V21,(Datos!L21+Datos!AB21-(Datos!V21+Datos!AJ21))/(Datos!V21+Datos!AJ21))
     ),IF(J_V="SI",(Datos!L21-Datos!V21)/Datos!V21,(Datos!L21+Datos!AB21-(Datos!V21+Datos!AJ21))/(Datos!V21+Datos!AJ21))," - ")</f>
        <v>0.36613808848028628</v>
      </c>
      <c r="F21" s="950">
        <f>IF(ISNUMBER((Datos!M21-Datos!W21)/Datos!W21),(Datos!M21-Datos!W21)/Datos!W21," - ")</f>
        <v>-0.23305785123966943</v>
      </c>
      <c r="G21" s="951">
        <f>IF(ISNUMBER((Datos!N21-Datos!X21)/Datos!X21),(Datos!N21-Datos!X21)/Datos!X21," - ")</f>
        <v>-3.8197751952752906E-2</v>
      </c>
      <c r="H21" s="952">
        <f>IF(ISNUMBER((Tasas!B21-Datos!BD21)/Datos!BD21),(Tasas!B21-Datos!BD21)/Datos!BD21," - ")</f>
        <v>-0.13172984768508506</v>
      </c>
      <c r="I21" s="953">
        <f>IF(ISNUMBER((Tasas!C21-Datos!BE21)/Datos!BE21),(Tasas!C21-Datos!BE21)/Datos!BE21," - ")</f>
        <v>0.55726299577492955</v>
      </c>
      <c r="J21" s="954">
        <f>IF(ISNUMBER((Tasas!D21-Datos!BF21)/Datos!BF21),(Tasas!D21-Datos!BF21)/Datos!BF21," - ")</f>
        <v>-0.53750057416634023</v>
      </c>
      <c r="K21" s="954">
        <f>IF(ISNUMBER((Tasas!E21-Datos!BG21)/Datos!BG21),(Tasas!E21-Datos!BG21)/Datos!BG21," - ")</f>
        <v>0.2689855258137373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A64KUm/dipkwGxadpaLF5qbECxozWe3O5NnTEqFRVEa81a5qXBAf9bOX4viTMouauoJPFAKBgZmT5A31XWppg==" saltValue="mZrGTEyOdYre2mKSfkEDa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LAS PALMAS</v>
      </c>
    </row>
    <row r="4" spans="1:7" ht="11.25" customHeight="1" thickBot="1">
      <c r="B4" s="403" t="str">
        <f>Criterios!A11 &amp;"  "&amp;Criterios!B11</f>
        <v>Resumenes por Partidos Judiciales  LAS PALMAS DE GRAN CANARIA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0.71425186589266676</v>
      </c>
      <c r="C9" s="460">
        <f>IF(ISNUMBER(NºAsuntos!I9/NºAsuntos!G9),NºAsuntos!I9/NºAsuntos!G9," - ")</f>
        <v>2.5153425111958865</v>
      </c>
      <c r="D9" s="461">
        <f>IF(ISNUMBER('Resol  Asuntos'!D9/NºAsuntos!G9),'Resol  Asuntos'!D9/NºAsuntos!G9," - ")</f>
        <v>0.20865815226405707</v>
      </c>
      <c r="E9" s="462">
        <f>IF(ISNUMBER((NºAsuntos!C9+NºAsuntos!E9)/NºAsuntos!G9),(NºAsuntos!C9+NºAsuntos!E9)/NºAsuntos!G9," - ")</f>
        <v>3.5370708243489801</v>
      </c>
      <c r="G9" s="480"/>
    </row>
    <row r="10" spans="1:7">
      <c r="A10" s="414" t="str">
        <f>Datos!A10</f>
        <v>Jdos. Violencia contra la mujer</v>
      </c>
      <c r="B10" s="459">
        <f>IF(ISNUMBER(NºAsuntos!G10/NºAsuntos!E10),NºAsuntos!G10/NºAsuntos!E10," - ")</f>
        <v>1</v>
      </c>
      <c r="C10" s="460">
        <f>IF(ISNUMBER(NºAsuntos!I10/NºAsuntos!G10),NºAsuntos!I10/NºAsuntos!G10," - ")</f>
        <v>2.3333333333333335</v>
      </c>
      <c r="D10" s="461">
        <f>IF(ISNUMBER('Resol  Asuntos'!D10/NºAsuntos!G10),'Resol  Asuntos'!D10/NºAsuntos!G10," - ")</f>
        <v>0.28125</v>
      </c>
      <c r="E10" s="462">
        <f>IF(ISNUMBER((NºAsuntos!C10+NºAsuntos!E10)/NºAsuntos!G10),(NºAsuntos!C10+NºAsuntos!E10)/NºAsuntos!G10," - ")</f>
        <v>3.3333333333333335</v>
      </c>
      <c r="G10" s="480"/>
    </row>
    <row r="11" spans="1:7">
      <c r="A11" s="414" t="str">
        <f>Datos!A11</f>
        <v xml:space="preserve">Jdos. Familia                                   </v>
      </c>
      <c r="B11" s="459">
        <f>IF(ISNUMBER(NºAsuntos!G11/NºAsuntos!E11),NºAsuntos!G11/NºAsuntos!E11," - ")</f>
        <v>0.69881767268201622</v>
      </c>
      <c r="C11" s="460">
        <f>IF(ISNUMBER(NºAsuntos!I11/NºAsuntos!G11),NºAsuntos!I11/NºAsuntos!G11," - ")</f>
        <v>1.6918967052537845</v>
      </c>
      <c r="D11" s="461">
        <f>IF(ISNUMBER('Resol  Asuntos'!D11/NºAsuntos!G11),'Resol  Asuntos'!D11/NºAsuntos!G11," - ")</f>
        <v>0.1736420302760463</v>
      </c>
      <c r="E11" s="462">
        <f>IF(ISNUMBER((NºAsuntos!C11+NºAsuntos!E11)/NºAsuntos!G11),(NºAsuntos!C11+NºAsuntos!E11)/NºAsuntos!G11," - ")</f>
        <v>2.6918967052537845</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0.71451104100946372</v>
      </c>
      <c r="C14" s="1006">
        <f>IF(ISNUMBER(NºAsuntos!I14/NºAsuntos!G14),NºAsuntos!I14/NºAsuntos!G14," - ")</f>
        <v>2.3853476821192054</v>
      </c>
      <c r="D14" s="1007">
        <f>IF(ISNUMBER('Resol  Asuntos'!D14/NºAsuntos!G14),'Resol  Asuntos'!D14/NºAsuntos!G14," - ")</f>
        <v>0.2041942604856512</v>
      </c>
      <c r="E14" s="1008">
        <f>IF(ISNUMBER((NºAsuntos!C14+NºAsuntos!E14)/NºAsuntos!G14),(NºAsuntos!C14+NºAsuntos!E14)/NºAsuntos!G14," - ")</f>
        <v>3.4034216335540837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0.90361303989643404</v>
      </c>
      <c r="C16" s="460">
        <f>IF(ISNUMBER(NºAsuntos!I16/NºAsuntos!G16),NºAsuntos!I16/NºAsuntos!G16," - ")</f>
        <v>0.5806199531127898</v>
      </c>
      <c r="D16" s="461">
        <f>IF(ISNUMBER('Resol  Asuntos'!D16/NºAsuntos!G16),'Resol  Asuntos'!D16/NºAsuntos!G16," - ")</f>
        <v>8.5438916384475122E-2</v>
      </c>
      <c r="E16" s="462">
        <f>IF(ISNUMBER((NºAsuntos!C16+NºAsuntos!E16)/NºAsuntos!G16),(NºAsuntos!C16+NºAsuntos!E16)/NºAsuntos!G16," - ")</f>
        <v>1.5621255535295651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1.0828471411901983</v>
      </c>
      <c r="C18" s="460">
        <f>IF(ISNUMBER(NºAsuntos!I18/NºAsuntos!G18),NºAsuntos!I18/NºAsuntos!G18," - ")</f>
        <v>0.42456896551724138</v>
      </c>
      <c r="D18" s="461">
        <f>IF(ISNUMBER('Resol  Asuntos'!D18/NºAsuntos!G18),'Resol  Asuntos'!D18/NºAsuntos!G18," - ")</f>
        <v>0.19827586206896552</v>
      </c>
      <c r="E18" s="462">
        <f>IF(ISNUMBER((NºAsuntos!C18+NºAsuntos!E18)/NºAsuntos!G18),(NºAsuntos!C18+NºAsuntos!E18)/NºAsuntos!G18," - ")</f>
        <v>1.415948275862069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0.92003420996365193</v>
      </c>
      <c r="C20" s="1006">
        <f>IF(ISNUMBER(NºAsuntos!I20/NºAsuntos!G20),NºAsuntos!I20/NºAsuntos!G20," - ")</f>
        <v>0.56379270276551241</v>
      </c>
      <c r="D20" s="1009">
        <f>IF(ISNUMBER('Resol  Asuntos'!D20/NºAsuntos!G20),'Resol  Asuntos'!D20/NºAsuntos!G20," - ")</f>
        <v>9.7606321171275851E-2</v>
      </c>
      <c r="E20" s="1008">
        <f>IF(ISNUMBER((NºAsuntos!C20+NºAsuntos!E20)/NºAsuntos!G20),(NºAsuntos!C20+NºAsuntos!E20)/NºAsuntos!G20," - ")</f>
        <v>1.5463630025563559</v>
      </c>
      <c r="G20" s="480"/>
    </row>
    <row r="21" spans="1:7" ht="15.75" customHeight="1" thickTop="1" thickBot="1">
      <c r="A21" s="940" t="str">
        <f>Datos!A21</f>
        <v>TOTAL JURISDICCIONES</v>
      </c>
      <c r="B21" s="955">
        <f>IF(ISNUMBER(NºAsuntos!G21/NºAsuntos!E21),NºAsuntos!G21/NºAsuntos!E21," - ")</f>
        <v>0.8131090368242897</v>
      </c>
      <c r="C21" s="956">
        <f>IF(ISNUMBER(NºAsuntos!I21/NºAsuntos!G21),NºAsuntos!I21/NºAsuntos!G21," - ")</f>
        <v>1.3965560741768639</v>
      </c>
      <c r="D21" s="957">
        <f>IF(ISNUMBER('Resol  Asuntos'!D21/NºAsuntos!G21),'Resol  Asuntos'!D21/NºAsuntos!G21," - ")</f>
        <v>0.14633530970102182</v>
      </c>
      <c r="E21" s="958">
        <f>IF(ISNUMBER((NºAsuntos!C21+NºAsuntos!E21)/NºAsuntos!G21),(NºAsuntos!C21+NºAsuntos!E21)/NºAsuntos!G21," - ")</f>
        <v>2.3953576384508644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uXKFtYteqzb4/nJh2aEFDlzBNEvPr9uVZsPRwafEZTLgmcgvwEPE8QDbdeRrSa7o7/ubAnMjD8my2+a2mzheQ==" saltValue="G69HijzwXRlDeKlmPaw9W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LAS PALMAS</v>
      </c>
      <c r="N2" s="339" t="str">
        <f>Criterios!A11 &amp;"  "&amp;Criterios!B11</f>
        <v>Resumenes por Partidos Judiciales  LAS PALMAS DE GRAN CANARIA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14</v>
      </c>
      <c r="B9" s="182" t="s">
        <v>273</v>
      </c>
      <c r="C9" s="165" t="str">
        <f>Datos!A9</f>
        <v xml:space="preserve">Jdos. 1ª Instancia   </v>
      </c>
      <c r="D9" s="165"/>
      <c r="E9" s="1205">
        <f>IF(ISNUMBER(Datos!AQ9),Datos!AQ9," - ")</f>
        <v>14</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1693</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1163</v>
      </c>
      <c r="Y9" s="344">
        <f>SUM(W9:X9)</f>
        <v>1163</v>
      </c>
      <c r="Z9" s="345" t="str">
        <f>IF(ISNUMBER(Datos!CC9),Datos!CC9," - ")</f>
        <v xml:space="preserve"> - </v>
      </c>
      <c r="AA9" s="342" t="str">
        <f>IF(ISNUMBER(IF(J_V="SI",Datos!L9,Datos!L9+Datos!AB9)-IF(Monitorios="SI",Datos!CD9,0)),
                          IF(J_V="SI",Datos!L9,Datos!L9+Datos!AB9)-IF(Monitorios="SI",Datos!CD9,0),
                          " - ")</f>
        <v xml:space="preserve"> - </v>
      </c>
      <c r="AB9" s="344">
        <f>IF(ISNUMBER(Datos!R9),Datos!R9," - ")</f>
        <v>22047</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1258</v>
      </c>
      <c r="AJ9" s="234" t="str">
        <f>IF(ISNUMBER(Datos!BW9),Datos!BW9," - ")</f>
        <v xml:space="preserve"> - </v>
      </c>
      <c r="AK9" s="233" t="str">
        <f>IF(ISNUMBER(Datos!BX9),Datos!BX9," - ")</f>
        <v xml:space="preserve"> - </v>
      </c>
      <c r="AL9" s="248">
        <f>IF(ISNUMBER(NºAsuntos!G9/NºAsuntos!E9),NºAsuntos!G9/NºAsuntos!E9," - ")</f>
        <v>0.71425186589266676</v>
      </c>
      <c r="AM9" s="265">
        <f>IF(ISNUMBER(((NºAsuntos!I9/NºAsuntos!G9)*11)/factor_trimestre),((NºAsuntos!I9/NºAsuntos!G9)*11)/factor_trimestre," - ")</f>
        <v>7.546027533587659</v>
      </c>
      <c r="AN9" s="249">
        <f>IF(ISNUMBER('Resol  Asuntos'!D9/NºAsuntos!G9),'Resol  Asuntos'!D9/NºAsuntos!G9," - ")</f>
        <v>0.20865815226405707</v>
      </c>
      <c r="AO9" s="250">
        <f>IF(ISNUMBER((NºAsuntos!C9+NºAsuntos!E9)/NºAsuntos!G9),(NºAsuntos!C9+NºAsuntos!E9)/NºAsuntos!G9," - ")</f>
        <v>3.5370708243489801</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2</v>
      </c>
      <c r="F10" s="230">
        <f>IF(ISNUMBER(Datos!L10+Datos!K10-Datos!J10-K10),Datos!L10+Datos!K10-Datos!J10-K10," - ")</f>
        <v>224</v>
      </c>
      <c r="G10" s="343">
        <f>IF(ISNUMBER(Datos!I10),Datos!I10," - ")</f>
        <v>224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96</v>
      </c>
      <c r="X10" s="231">
        <f>IF(ISNUMBER(Datos!Q10),Datos!Q10," - ")</f>
        <v>8</v>
      </c>
      <c r="Y10" s="344">
        <f t="shared" ref="Y10:Y13" si="0">SUM(W10:X10)</f>
        <v>104</v>
      </c>
      <c r="Z10" s="345" t="str">
        <f>IF(ISNUMBER(Datos!CC10),Datos!CC10," - ")</f>
        <v xml:space="preserve"> - </v>
      </c>
      <c r="AA10" s="342">
        <f>IF(ISNUMBER(Datos!L10),Datos!L10,"-")</f>
        <v>224</v>
      </c>
      <c r="AB10" s="344">
        <f>IF(ISNUMBER(Datos!R10),Datos!R10," - ")</f>
        <v>161</v>
      </c>
      <c r="AC10" s="344">
        <f t="shared" ref="AC10:AC13" si="1">IF(ISNUMBER(AA10+AB10),AA10+AB10," - ")</f>
        <v>385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27</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7.0000000000000009</v>
      </c>
      <c r="AN10" s="249">
        <f>IF(ISNUMBER('Resol  Asuntos'!D10/NºAsuntos!G10),'Resol  Asuntos'!D10/NºAsuntos!G10," - ")</f>
        <v>0.28125</v>
      </c>
      <c r="AO10" s="250">
        <f>IF(ISNUMBER((NºAsuntos!C10+NºAsuntos!E10)/NºAsuntos!G10),(NºAsuntos!C10+NºAsuntos!E10)/NºAsuntos!G10," - ")</f>
        <v>3.3333333333333335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3</v>
      </c>
      <c r="B11" s="280" t="s">
        <v>273</v>
      </c>
      <c r="C11" s="7" t="str">
        <f>Datos!A11</f>
        <v xml:space="preserve">Jdos. Familia                                   </v>
      </c>
      <c r="D11" s="7"/>
      <c r="E11" s="1205">
        <f>IF(ISNUMBER(Datos!AQ11),Datos!AQ11," - ")</f>
        <v>3</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53</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33</v>
      </c>
      <c r="Y11" s="344">
        <f t="shared" si="0"/>
        <v>33</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1269</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195</v>
      </c>
      <c r="AJ11" s="236" t="str">
        <f>IF(ISNUMBER(Datos!BW11),Datos!BW11," - ")</f>
        <v xml:space="preserve"> - </v>
      </c>
      <c r="AK11" s="237" t="str">
        <f>IF(ISNUMBER(Datos!BX11),Datos!BX11," - ")</f>
        <v xml:space="preserve"> - </v>
      </c>
      <c r="AL11" s="248">
        <f>IF(ISNUMBER(NºAsuntos!G11/NºAsuntos!E11),NºAsuntos!G11/NºAsuntos!E11," - ")</f>
        <v>0.69881767268201622</v>
      </c>
      <c r="AM11" s="265">
        <f>IF(ISNUMBER(((NºAsuntos!I11/NºAsuntos!G11)*11)/factor_trimestre),((NºAsuntos!I11/NºAsuntos!G11)*11)/factor_trimestre," - ")</f>
        <v>5.0756901157613541</v>
      </c>
      <c r="AN11" s="249">
        <f>IF(ISNUMBER('Resol  Asuntos'!D11/NºAsuntos!G11),'Resol  Asuntos'!D11/NºAsuntos!G11," - ")</f>
        <v>0.1736420302760463</v>
      </c>
      <c r="AO11" s="250">
        <f>IF(ISNUMBER((NºAsuntos!C11+NºAsuntos!E11)/NºAsuntos!G11),(NºAsuntos!C11+NºAsuntos!E11)/NºAsuntos!G11," - ")</f>
        <v>2.6918967052537845</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19</v>
      </c>
      <c r="F14" s="1012">
        <f t="shared" si="5"/>
        <v>224</v>
      </c>
      <c r="G14" s="1013">
        <f t="shared" si="5"/>
        <v>224</v>
      </c>
      <c r="H14" s="1012">
        <f t="shared" si="5"/>
        <v>0</v>
      </c>
      <c r="I14" s="1014">
        <f t="shared" si="5"/>
        <v>0</v>
      </c>
      <c r="J14" s="1014">
        <f t="shared" si="5"/>
        <v>0</v>
      </c>
      <c r="K14" s="1014">
        <f t="shared" si="5"/>
        <v>0</v>
      </c>
      <c r="L14" s="1014">
        <f t="shared" si="5"/>
        <v>1763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96</v>
      </c>
      <c r="X14" s="1014">
        <f t="shared" si="6"/>
        <v>1204</v>
      </c>
      <c r="Y14" s="1015">
        <f t="shared" si="6"/>
        <v>1300</v>
      </c>
      <c r="Z14" s="1015">
        <f t="shared" si="6"/>
        <v>0</v>
      </c>
      <c r="AA14" s="1015">
        <f t="shared" si="6"/>
        <v>224</v>
      </c>
      <c r="AB14" s="1015">
        <f t="shared" si="6"/>
        <v>23477</v>
      </c>
      <c r="AC14" s="1015">
        <f t="shared" si="6"/>
        <v>385</v>
      </c>
      <c r="AD14" s="1015">
        <f t="shared" si="6"/>
        <v>0</v>
      </c>
      <c r="AE14" s="1019">
        <f t="shared" si="6"/>
        <v>0</v>
      </c>
      <c r="AF14" s="1012">
        <f t="shared" si="6"/>
        <v>0</v>
      </c>
      <c r="AG14" s="1020">
        <f t="shared" si="6"/>
        <v>0</v>
      </c>
      <c r="AH14" s="1017">
        <f t="shared" si="6"/>
        <v>0</v>
      </c>
      <c r="AI14" s="1012">
        <f t="shared" si="6"/>
        <v>1480</v>
      </c>
      <c r="AJ14" s="1014">
        <f t="shared" si="6"/>
        <v>0</v>
      </c>
      <c r="AK14" s="1017">
        <f>SUBTOTAL(9,AK9:AK13)</f>
        <v>0</v>
      </c>
      <c r="AL14" s="1021">
        <f>IF(ISNUMBER(NºAsuntos!G14/NºAsuntos!E14),NºAsuntos!G14/NºAsuntos!E14," - ")</f>
        <v>0.71451104100946372</v>
      </c>
      <c r="AM14" s="1021">
        <f>IF(ISNUMBER(((NºAsuntos!I14/NºAsuntos!G14)*11)/factor_trimestre),((NºAsuntos!I14/NºAsuntos!G14)*11)/factor_trimestre," - ")</f>
        <v>7.1560430463576168</v>
      </c>
      <c r="AN14" s="1022">
        <f>IF(ISNUMBER('Resol  Asuntos'!D14/NºAsuntos!G14),'Resol  Asuntos'!D14/NºAsuntos!G14," - ")</f>
        <v>0.2041942604856512</v>
      </c>
      <c r="AO14" s="1023">
        <f>IF(ISNUMBER((NºAsuntos!C14+NºAsuntos!E14)/NºAsuntos!G14),(NºAsuntos!C14+NºAsuntos!E14)/NºAsuntos!G14," - ")</f>
        <v>3.4034216335540837</v>
      </c>
      <c r="AP14" s="1024" t="str">
        <f t="shared" si="2"/>
        <v xml:space="preserve"> - </v>
      </c>
      <c r="AQ14" s="1024">
        <f>IF(ISNUMBER((H14-W14+K14)/(F14)),(H14-W14+K14)/(F14)," - ")</f>
        <v>-0.42857142857142855</v>
      </c>
      <c r="AR14" s="1025">
        <f>IF(ISNUMBER((Datos!P14-Datos!Q14)/(Datos!R14-Datos!P14+Datos!Q14)),(Datos!P14-Datos!Q14)/(Datos!R14-Datos!P14+Datos!Q14)," - ")</f>
        <v>2.4391308142071733E-2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8</v>
      </c>
      <c r="B16" s="280" t="s">
        <v>437</v>
      </c>
      <c r="C16" s="165" t="str">
        <f>Datos!A16</f>
        <v xml:space="preserve">Jdos. Instrucción                               </v>
      </c>
      <c r="D16" s="165"/>
      <c r="E16" s="1205">
        <f>IF(ISNUMBER(Datos!AQ16),Datos!AQ16," - ")</f>
        <v>8</v>
      </c>
      <c r="F16" s="230">
        <f>IF(ISNUMBER(AA16+W16-Datos!J16-K16),AA16+W16-Datos!J16-K16," - ")</f>
        <v>3639</v>
      </c>
      <c r="G16" s="343">
        <f>IF(ISNUMBER(IF(D_I="SI",Datos!I16,Datos!I16+Datos!AC16)),IF(D_I="SI",Datos!I16,Datos!I16+Datos!AC16)," - ")</f>
        <v>3497</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309</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7678</v>
      </c>
      <c r="X16" s="231">
        <f>IF(ISNUMBER(Datos!Q16),Datos!Q16," - ")</f>
        <v>228</v>
      </c>
      <c r="Y16" s="344">
        <f>SUM(W16)</f>
        <v>7678</v>
      </c>
      <c r="Z16" s="345" t="str">
        <f>IF(ISNUMBER(Datos!CC16),Datos!CC16," - ")</f>
        <v xml:space="preserve"> - </v>
      </c>
      <c r="AA16" s="342">
        <f>IF(ISNUMBER(IF(D_I="SI",Datos!L16,Datos!L16+Datos!AF16)),IF(D_I="SI",Datos!L16,Datos!L16+Datos!AF16)," - ")</f>
        <v>4458</v>
      </c>
      <c r="AB16" s="344">
        <f>IF(ISNUMBER(Datos!R16),Datos!R16," - ")</f>
        <v>1014</v>
      </c>
      <c r="AC16" s="344">
        <f t="shared" ref="AC16:AC19" si="8">IF(ISNUMBER(AA16+AB16),AA16+AB16," - ")</f>
        <v>5472</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656</v>
      </c>
      <c r="AJ16" s="236" t="str">
        <f>IF(ISNUMBER(Datos!BW16),Datos!BW16," - ")</f>
        <v xml:space="preserve"> - </v>
      </c>
      <c r="AK16" s="237" t="str">
        <f>IF(ISNUMBER(Datos!BX16),Datos!BX16," - ")</f>
        <v xml:space="preserve"> - </v>
      </c>
      <c r="AL16" s="248">
        <f>IF(ISNUMBER(NºAsuntos!G16/NºAsuntos!E16),NºAsuntos!G16/NºAsuntos!E16," - ")</f>
        <v>0.90361303989643404</v>
      </c>
      <c r="AM16" s="265">
        <f>IF(ISNUMBER(((NºAsuntos!I16/NºAsuntos!G16)*11)/factor_trimestre),((NºAsuntos!I16/NºAsuntos!G16)*11)/factor_trimestre," - ")</f>
        <v>1.7418598593383694</v>
      </c>
      <c r="AN16" s="249">
        <f>IF(ISNUMBER('Resol  Asuntos'!D16/NºAsuntos!G16),'Resol  Asuntos'!D16/NºAsuntos!G16," - ")</f>
        <v>8.5438916384475122E-2</v>
      </c>
      <c r="AO16" s="250">
        <f>IF(ISNUMBER((NºAsuntos!C16+NºAsuntos!E16)/NºAsuntos!G16),(NºAsuntos!C16+NºAsuntos!E16)/NºAsuntos!G16," - ")</f>
        <v>1.5621255535295651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2</v>
      </c>
      <c r="F18" s="230" t="str">
        <f>IF(ISNUMBER(AA18+W18-H18-K18),AA18+W18-H18-K18," - ")</f>
        <v xml:space="preserve"> - </v>
      </c>
      <c r="G18" s="343">
        <f>IF(ISNUMBER(IF(D_I="SI",Datos!I18,Datos!I18+Datos!AC18)),IF(D_I="SI",Datos!I18,Datos!I18+Datos!AC18)," - ")</f>
        <v>457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928</v>
      </c>
      <c r="X18" s="231">
        <f>IF(ISNUMBER(Datos!Q18),Datos!Q18," - ")</f>
        <v>38</v>
      </c>
      <c r="Y18" s="344">
        <f t="shared" si="9"/>
        <v>966</v>
      </c>
      <c r="Z18" s="345" t="str">
        <f>IF(ISNUMBER(Datos!CC18),Datos!CC18," - ")</f>
        <v xml:space="preserve"> - </v>
      </c>
      <c r="AA18" s="342">
        <f>IF(ISNUMBER(Datos!L18),Datos!L18,"-")</f>
        <v>394</v>
      </c>
      <c r="AB18" s="344">
        <f>IF(ISNUMBER(Datos!R18),Datos!R18," - ")</f>
        <v>63</v>
      </c>
      <c r="AC18" s="344">
        <f t="shared" si="8"/>
        <v>457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184</v>
      </c>
      <c r="AJ18" s="236" t="str">
        <f>IF(ISNUMBER(Datos!BW18),Datos!BW18," - ")</f>
        <v xml:space="preserve"> - </v>
      </c>
      <c r="AK18" s="237" t="str">
        <f>IF(ISNUMBER(Datos!BX18),Datos!BX18," - ")</f>
        <v xml:space="preserve"> - </v>
      </c>
      <c r="AL18" s="248">
        <f>IF(ISNUMBER(NºAsuntos!G18/NºAsuntos!E18),NºAsuntos!G18/NºAsuntos!E18," - ")</f>
        <v>1.0828471411901983</v>
      </c>
      <c r="AM18" s="265">
        <f>IF(ISNUMBER(((NºAsuntos!I18/NºAsuntos!G18)*11)/factor_trimestre),((NºAsuntos!I18/NºAsuntos!G18)*11)/factor_trimestre," - ")</f>
        <v>1.2737068965517242</v>
      </c>
      <c r="AN18" s="249">
        <f>IF(ISNUMBER('Resol  Asuntos'!D18/NºAsuntos!G18),'Resol  Asuntos'!D18/NºAsuntos!G18," - ")</f>
        <v>0.19827586206896552</v>
      </c>
      <c r="AO18" s="250">
        <f>IF(ISNUMBER((NºAsuntos!C18+NºAsuntos!E18)/NºAsuntos!G18),(NºAsuntos!C18+NºAsuntos!E18)/NºAsuntos!G18," - ")</f>
        <v>1.415948275862069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10</v>
      </c>
      <c r="F20" s="1012">
        <f>SUBTOTAL(9,F15:F19)</f>
        <v>3639</v>
      </c>
      <c r="G20" s="1013">
        <f>SUBTOTAL(9,G16:G19)</f>
        <v>3954</v>
      </c>
      <c r="H20" s="1012">
        <f t="shared" ref="H20:O20" si="12">SUBTOTAL(9,H15:H19)</f>
        <v>0</v>
      </c>
      <c r="I20" s="1014">
        <f t="shared" si="12"/>
        <v>0</v>
      </c>
      <c r="J20" s="1014">
        <f t="shared" si="12"/>
        <v>0</v>
      </c>
      <c r="K20" s="1014">
        <f t="shared" si="12"/>
        <v>0</v>
      </c>
      <c r="L20" s="1014">
        <f t="shared" si="12"/>
        <v>341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8606</v>
      </c>
      <c r="X20" s="1014">
        <f t="shared" si="13"/>
        <v>266</v>
      </c>
      <c r="Y20" s="1015">
        <f t="shared" si="13"/>
        <v>8644</v>
      </c>
      <c r="Z20" s="1015">
        <f t="shared" si="13"/>
        <v>0</v>
      </c>
      <c r="AA20" s="1015">
        <f t="shared" si="13"/>
        <v>4852</v>
      </c>
      <c r="AB20" s="1015">
        <f t="shared" si="13"/>
        <v>1077</v>
      </c>
      <c r="AC20" s="1015">
        <f t="shared" si="13"/>
        <v>5929</v>
      </c>
      <c r="AD20" s="1015">
        <f t="shared" si="13"/>
        <v>0</v>
      </c>
      <c r="AE20" s="1019">
        <f t="shared" si="13"/>
        <v>0</v>
      </c>
      <c r="AF20" s="1012">
        <f t="shared" si="13"/>
        <v>0</v>
      </c>
      <c r="AG20" s="1020">
        <f t="shared" si="13"/>
        <v>0</v>
      </c>
      <c r="AH20" s="1017">
        <f t="shared" si="13"/>
        <v>0</v>
      </c>
      <c r="AI20" s="1012">
        <f t="shared" si="13"/>
        <v>840</v>
      </c>
      <c r="AJ20" s="1014">
        <f t="shared" si="13"/>
        <v>0</v>
      </c>
      <c r="AK20" s="1017">
        <f t="shared" si="13"/>
        <v>0</v>
      </c>
      <c r="AL20" s="1021">
        <f>IF(ISNUMBER(NºAsuntos!G20/NºAsuntos!E20),NºAsuntos!G20/NºAsuntos!E20," - ")</f>
        <v>0.92003420996365193</v>
      </c>
      <c r="AM20" s="1021">
        <f>IF(ISNUMBER(((NºAsuntos!I20/NºAsuntos!G20)*11)/factor_trimestre),((NºAsuntos!I20/NºAsuntos!G20)*11)/factor_trimestre," - ")</f>
        <v>1.6913781082965373</v>
      </c>
      <c r="AN20" s="1022">
        <f>IF(ISNUMBER('Resol  Asuntos'!D20/NºAsuntos!G20),'Resol  Asuntos'!D20/NºAsuntos!G20," - ")</f>
        <v>9.7606321171275851E-2</v>
      </c>
      <c r="AO20" s="1023">
        <f>IF(ISNUMBER((NºAsuntos!C20+NºAsuntos!E20)/NºAsuntos!G20),(NºAsuntos!C20+NºAsuntos!E20)/NºAsuntos!G20," - ")</f>
        <v>1.5463630025563559</v>
      </c>
      <c r="AP20" s="1024" t="str">
        <f t="shared" si="2"/>
        <v xml:space="preserve"> - </v>
      </c>
      <c r="AQ20" s="1024">
        <f>IF(ISNUMBER((H20-W20+K20)/(F20)),(H20-W20+K20)/(F20)," - ")</f>
        <v>-2.3649354218191809</v>
      </c>
      <c r="AR20" s="1025">
        <f>IF(ISNUMBER((Datos!P20-Datos!Q20)/(Datos!R20-Datos!P20+Datos!Q20)),(Datos!P20-Datos!Q20)/(Datos!R20-Datos!P20+Datos!Q20)," - ")</f>
        <v>7.4850299401197598E-2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29</v>
      </c>
      <c r="F21" s="967">
        <f t="shared" si="15"/>
        <v>3863</v>
      </c>
      <c r="G21" s="968">
        <f t="shared" si="15"/>
        <v>4178</v>
      </c>
      <c r="H21" s="967">
        <f t="shared" si="15"/>
        <v>0</v>
      </c>
      <c r="I21" s="969">
        <f t="shared" si="15"/>
        <v>0</v>
      </c>
      <c r="J21" s="969">
        <f t="shared" si="15"/>
        <v>0</v>
      </c>
      <c r="K21" s="1028">
        <f t="shared" si="15"/>
        <v>0</v>
      </c>
      <c r="L21" s="969">
        <f t="shared" si="15"/>
        <v>2104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8702</v>
      </c>
      <c r="X21" s="968">
        <f t="shared" si="16"/>
        <v>1470</v>
      </c>
      <c r="Y21" s="975">
        <f t="shared" si="16"/>
        <v>9944</v>
      </c>
      <c r="Z21" s="975">
        <f t="shared" si="16"/>
        <v>0</v>
      </c>
      <c r="AA21" s="975">
        <f t="shared" si="16"/>
        <v>5076</v>
      </c>
      <c r="AB21" s="975">
        <f t="shared" si="16"/>
        <v>24554</v>
      </c>
      <c r="AC21" s="975">
        <f t="shared" si="16"/>
        <v>6314</v>
      </c>
      <c r="AD21" s="975">
        <f t="shared" si="16"/>
        <v>0</v>
      </c>
      <c r="AE21" s="977">
        <f t="shared" si="16"/>
        <v>0</v>
      </c>
      <c r="AF21" s="978">
        <f t="shared" si="16"/>
        <v>0</v>
      </c>
      <c r="AG21" s="979">
        <f t="shared" si="16"/>
        <v>0</v>
      </c>
      <c r="AH21" s="977">
        <f t="shared" si="16"/>
        <v>0</v>
      </c>
      <c r="AI21" s="967">
        <f t="shared" si="16"/>
        <v>2320</v>
      </c>
      <c r="AJ21" s="967">
        <f t="shared" si="16"/>
        <v>0</v>
      </c>
      <c r="AK21" s="977">
        <f t="shared" si="16"/>
        <v>0</v>
      </c>
      <c r="AL21" s="1031">
        <f>IF(ISNUMBER(NºAsuntos!G21/NºAsuntos!E21),NºAsuntos!G21/NºAsuntos!E21," - ")</f>
        <v>0.8131090368242897</v>
      </c>
      <c r="AM21" s="1032">
        <f>IF(ISNUMBER(((NºAsuntos!I21/NºAsuntos!G21)*11)/factor_trimestre),((NºAsuntos!I21/NºAsuntos!G21)*11)/factor_trimestre," - ")</f>
        <v>4.1896682225305923</v>
      </c>
      <c r="AN21" s="1032">
        <f>IF(ISNUMBER('Resol  Asuntos'!D21/NºAsuntos!G21),'Resol  Asuntos'!D21/NºAsuntos!G21," - ")</f>
        <v>0.14633530970102182</v>
      </c>
      <c r="AO21" s="1033">
        <f>IF(ISNUMBER((NºAsuntos!C21+NºAsuntos!E21)/NºAsuntos!G21),(NºAsuntos!C21+NºAsuntos!E21)/NºAsuntos!G21," - ")</f>
        <v>2.3953576384508644</v>
      </c>
      <c r="AP21" s="1034" t="str">
        <f t="shared" si="2"/>
        <v xml:space="preserve"> - </v>
      </c>
      <c r="AQ21" s="1035">
        <f>IF(OR(ISNUMBER(FIND("01",Criterios!A8,1)),ISNUMBER(FIND("02",Criterios!A8,1)),ISNUMBER(FIND("03",Criterios!A8,1)),ISNUMBER(FIND("04",Criterios!A8,1))),(I21-W21+K21)/(F21-K21),(H21-W21+K21)/(F21-K21))</f>
        <v>-2.252653378203469</v>
      </c>
      <c r="AR21" s="1036">
        <f>IF(ISNUMBER((Datos!P21-Datos!Q21)/(Datos!R21-Datos!P21+Datos!Q21)),(Datos!P21-Datos!Q21)/(Datos!R21-Datos!P21+Datos!Q21)," - ")</f>
        <v>2.6505016722408025E-2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1671.2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6.5740536823319156</v>
      </c>
      <c r="F23" s="257">
        <f>IF(ISNUMBER(STDEV(F8:F20)),STDEV(F8:F20),"-")</f>
        <v>1971.651169282572</v>
      </c>
      <c r="G23" s="258">
        <f>IF(ISNUMBER(STDEV(G8:G20)),STDEV(G8:G20),"-")</f>
        <v>1884.6603672810654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4281.1999719704754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563.59750075487636</v>
      </c>
      <c r="AJ23" s="257">
        <f t="shared" si="20"/>
        <v>0</v>
      </c>
      <c r="AK23" s="259">
        <f t="shared" si="20"/>
        <v>0</v>
      </c>
      <c r="AL23" s="254">
        <f t="shared" si="20"/>
        <v>0.15444958707708448</v>
      </c>
      <c r="AM23" s="255">
        <f t="shared" si="20"/>
        <v>2.8524520225932686</v>
      </c>
      <c r="AN23" s="255">
        <f t="shared" si="20"/>
        <v>6.8002551243434239E-2</v>
      </c>
      <c r="AO23" s="256">
        <f t="shared" si="20"/>
        <v>0.96498200668426903</v>
      </c>
      <c r="AP23" s="296" t="str">
        <f t="shared" si="20"/>
        <v>-</v>
      </c>
      <c r="AQ23" s="297">
        <f t="shared" si="20"/>
        <v>1.3692161104709482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pKRvj5qtbCsw3vmhSbxp5L/57D74oLcO6TsCmZ4UOAwxNouyCTEg8bHc9M3B736krtvKsrmtoT1TQgedAMddQ==" saltValue="rqik01ivQJutd5tFl5VM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LAS PALMAS</v>
      </c>
      <c r="E3" s="268"/>
    </row>
    <row r="4" spans="2:20" ht="17.25" customHeight="1" thickBot="1">
      <c r="D4" s="267" t="str">
        <f>Criterios!A11 &amp;"  "&amp;Criterios!B11</f>
        <v>Resumenes por Partidos Judiciales  LAS PALMAS DE GRAN CANARIA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-0.17399868680236374</v>
      </c>
      <c r="I9" s="360">
        <f>IF(ISNUMBER((Tasas!C9-Datos!BE9)/Datos!BE9),(Tasas!C9-Datos!BE9)/Datos!BE9," - ")</f>
        <v>0.80359822979199158</v>
      </c>
      <c r="J9" s="359">
        <f>IF(ISNUMBER((Tasas!D9-Datos!BF9)/Datos!BF9),(Tasas!D9-Datos!BF9)/Datos!BF9," - ")</f>
        <v>-0.57549804406636751</v>
      </c>
      <c r="K9" s="361">
        <f>IF(ISNUMBER((Tasas!E9-Datos!BG9)/Datos!BG9),(Tasas!E9-Datos!BG9)/Datos!BG9," - ")</f>
        <v>0.47589319618465292</v>
      </c>
      <c r="M9" t="e">
        <f>IF(Monitorios="SI",Datos!CE9,0)</f>
        <v>#REF!</v>
      </c>
      <c r="N9" t="e">
        <f>IF(Monitorios="SI",Datos!CF9,0)</f>
        <v>#REF!</v>
      </c>
      <c r="O9" t="e">
        <f>IF(Monitorios="SI",Datos!CG9,0)</f>
        <v>#REF!</v>
      </c>
      <c r="P9" t="e">
        <f>IF(Monitorios="SI",Datos!CH9,0)</f>
        <v>#REF!</v>
      </c>
      <c r="Q9">
        <f>IF(J_V="SI",0,Datos!AG9)</f>
        <v>220</v>
      </c>
      <c r="R9">
        <f>IF(J_V="SI",0,Datos!AH9)</f>
        <v>266</v>
      </c>
      <c r="S9">
        <f>IF(J_V="SI",0,Datos!AI9)</f>
        <v>235</v>
      </c>
      <c r="T9">
        <f>IF(J_V="SI",0,Datos!AJ9)</f>
        <v>255</v>
      </c>
    </row>
    <row r="10" spans="2:20" ht="14.25">
      <c r="B10" s="280" t="s">
        <v>273</v>
      </c>
      <c r="C10" s="7" t="str">
        <f>Datos!A10</f>
        <v>Jdos. Violencia contra la mujer</v>
      </c>
      <c r="D10" s="362">
        <f>IF(ISNUMBER((Datos!I10-Datos!S10)/Datos!S10),(Datos!I10-Datos!S10)/Datos!S10," - ")</f>
        <v>0.47368421052631576</v>
      </c>
      <c r="E10" s="358">
        <f>IF(ISNUMBER((Datos!J10-Datos!T10)/Datos!T10),(Datos!J10-Datos!T10)/Datos!T10," - ")</f>
        <v>9.0909090909090912E-2</v>
      </c>
      <c r="F10" s="358">
        <f>IF(ISNUMBER((Datos!K10-Datos!U10)/Datos!U10),(Datos!K10-Datos!U10)/Datos!U10," - ")</f>
        <v>0.77777777777777779</v>
      </c>
      <c r="G10" s="359">
        <f>IF(ISNUMBER((Datos!L10-Datos!V10)/Datos!V10),(Datos!L10-Datos!V10)/Datos!V10," - ")</f>
        <v>0.14285714285714285</v>
      </c>
      <c r="H10" s="235">
        <f>IF(ISNUMBER((Datos!M10-Datos!W10)/Datos!W10),(Datos!M10-Datos!W10)/Datos!W10," - ")</f>
        <v>0.17391304347826086</v>
      </c>
      <c r="I10" s="360">
        <f>IF(ISNUMBER((Tasas!C10-Datos!BE10)/Datos!BE10),(Tasas!C10-Datos!BE10)/Datos!BE10," - ")</f>
        <v>-0.35714285714285715</v>
      </c>
      <c r="J10" s="359">
        <f>IF(ISNUMBER((Tasas!D10-Datos!BF10)/Datos!BF10),(Tasas!D10-Datos!BF10)/Datos!BF10," - ")</f>
        <v>-0.33967391304347827</v>
      </c>
      <c r="K10" s="361">
        <f>IF(ISNUMBER((Tasas!E10-Datos!BG10)/Datos!BG10),(Tasas!E10-Datos!BG10)/Datos!BG10," - ")</f>
        <v>-0.25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-0.513715710723192</v>
      </c>
      <c r="I11" s="360">
        <f>IF(ISNUMBER((Tasas!C11-Datos!BE11)/Datos!BE11),(Tasas!C11-Datos!BE11)/Datos!BE11," - ")</f>
        <v>0.8977638568021471</v>
      </c>
      <c r="J11" s="359">
        <f>IF(ISNUMBER((Tasas!D11-Datos!BF11)/Datos!BF11),(Tasas!D11-Datos!BF11)/Datos!BF11," - ")</f>
        <v>-0.6574147397751805</v>
      </c>
      <c r="K11" s="361">
        <f>IF(ISNUMBER((Tasas!E11-Datos!BG11)/Datos!BG11),(Tasas!E11-Datos!BG11)/Datos!BG11," - ")</f>
        <v>0.41335591333128335</v>
      </c>
      <c r="M11" t="e">
        <f>IF(Monitorios="SI",Datos!CE11,0)</f>
        <v>#REF!</v>
      </c>
      <c r="N11" t="e">
        <f>IF(Monitorios="SI",Datos!CF11,0)</f>
        <v>#REF!</v>
      </c>
      <c r="O11" t="e">
        <f>IF(Monitorios="SI",Datos!CG11,0)</f>
        <v>#REF!</v>
      </c>
      <c r="P11" t="e">
        <f>IF(Monitorios="SI",Datos!CH11,0)</f>
        <v>#REF!</v>
      </c>
      <c r="Q11">
        <f>IF(J_V="SI",0,Datos!AG11)</f>
        <v>282</v>
      </c>
      <c r="R11">
        <f>IF(J_V="SI",0,Datos!AH11)</f>
        <v>659</v>
      </c>
      <c r="S11">
        <f>IF(J_V="SI",0,Datos!AI11)</f>
        <v>582</v>
      </c>
      <c r="T11">
        <f>IF(J_V="SI",0,Datos!AJ11)</f>
        <v>305</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-0.23985618900873137</v>
      </c>
      <c r="I14" s="367">
        <f>IF(ISNUMBER((Tasas!C14-Datos!BE14)/Datos!BE14),(Tasas!C14-Datos!BE14)/Datos!BE14," - ")</f>
        <v>0.80490475633095859</v>
      </c>
      <c r="J14" s="365">
        <f>IF(ISNUMBER((Tasas!D14-Datos!BF14)/Datos!BF14),(Tasas!D14-Datos!BF14)/Datos!BF14," - ")</f>
        <v>-0.58646261513283093</v>
      </c>
      <c r="K14" s="368">
        <f>IF(ISNUMBER((Tasas!E14-Datos!BG14)/Datos!BG14),(Tasas!E14-Datos!BG14)/Datos!BG14," - ")</f>
        <v>0.46424105349820172</v>
      </c>
      <c r="M14" t="e">
        <f>IF(Monitorios="SI",Datos!CE14,0)</f>
        <v>#REF!</v>
      </c>
      <c r="N14" t="e">
        <f>IF(Monitorios="SI",Datos!CF14,0)</f>
        <v>#REF!</v>
      </c>
      <c r="O14" t="e">
        <f>IF(Monitorios="SI",Datos!CG14,0)</f>
        <v>#REF!</v>
      </c>
      <c r="P14" t="e">
        <f>IF(Monitorios="SI",Datos!CH14,0)</f>
        <v>#REF!</v>
      </c>
      <c r="Q14">
        <f>IF(J_V="SI",0,Datos!AG14)</f>
        <v>502</v>
      </c>
      <c r="R14">
        <f>IF(J_V="SI",0,Datos!AH14)</f>
        <v>925</v>
      </c>
      <c r="S14">
        <f>IF(J_V="SI",0,Datos!AI14)</f>
        <v>817</v>
      </c>
      <c r="T14">
        <f>IF(J_V="SI",0,Datos!AJ14)</f>
        <v>560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0.15526924347538817</v>
      </c>
      <c r="E16" s="358">
        <f>IF(ISNUMBER(
   IF(D_I="SI",(Datos!J16-Datos!T16)/Datos!T16,(Datos!J16+Datos!AD16-(Datos!T16+Datos!AL16))/(Datos!T16+Datos!AL16))
     ),IF(D_I="SI",(Datos!J16-Datos!T16)/Datos!T16,(Datos!J16+Datos!AD16-(Datos!T16+Datos!AL16))/(Datos!T16+Datos!AL16))," - ")</f>
        <v>5.7498444306160551E-2</v>
      </c>
      <c r="F16" s="358">
        <f>IF(ISNUMBER(
   IF(D_I="SI",(Datos!K16-Datos!U16)/Datos!U16,(Datos!K16+Datos!AE16-(Datos!U16+Datos!AM16))/(Datos!U16+Datos!AM16))
     ),IF(D_I="SI",(Datos!K16-Datos!U16)/Datos!U16,(Datos!K16+Datos!AE16-(Datos!U16+Datos!AM16))/(Datos!U16+Datos!AM16))," - ")</f>
        <v>-4.312063808574277E-2</v>
      </c>
      <c r="G16" s="359">
        <f>IF(ISNUMBER(
   IF(D_I="SI",(Datos!L16-Datos!V16)/Datos!V16,(Datos!L16+Datos!AF16-(Datos!V16+Datos!AN16))/(Datos!V16+Datos!AN16))
     ),IF(D_I="SI",(Datos!L16-Datos!V16)/Datos!V16,(Datos!L16+Datos!AF16-(Datos!V16+Datos!AN16))/(Datos!V16+Datos!AN16))," - ")</f>
        <v>0.38018575851393188</v>
      </c>
      <c r="H16" s="235">
        <f>IF(ISNUMBER((Datos!M16-Datos!W16)/Datos!W16),(Datos!M16-Datos!W16)/Datos!W16," - ")</f>
        <v>-0.29538131041890442</v>
      </c>
      <c r="I16" s="360">
        <f>IF(ISNUMBER((Tasas!C16-Datos!BE16)/Datos!BE16),(Tasas!C16-Datos!BE16)/Datos!BE16," - ")</f>
        <v>0.44238219931177264</v>
      </c>
      <c r="J16" s="359">
        <f>IF(ISNUMBER((Tasas!D16-Datos!BF16)/Datos!BF16),(Tasas!D16-Datos!BF16)/Datos!BF16," - ")</f>
        <v>-0.26362850153702644</v>
      </c>
      <c r="K16" s="361">
        <f>IF(ISNUMBER((Tasas!E16-Datos!BG16)/Datos!BG16),(Tasas!E16-Datos!BG16)/Datos!BG16," - ")</f>
        <v>0.13311294897136411</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-8.2329317269076302E-2</v>
      </c>
      <c r="E18" s="358">
        <f>IF(ISNUMBER(
   IF(D_I="SI",(Datos!J18-Datos!T18)/Datos!T18,(Datos!J18+Datos!AD18-(Datos!T18+Datos!AL18))/(Datos!T18+Datos!AL18))
     ),IF(D_I="SI",(Datos!J18-Datos!T18)/Datos!T18,(Datos!J18+Datos!AD18-(Datos!T18+Datos!AL18))/(Datos!T18+Datos!AL18))," - ")</f>
        <v>0.20534458509142053</v>
      </c>
      <c r="F18" s="358">
        <f>IF(ISNUMBER(
   IF(D_I="SI",(Datos!K18-Datos!U18)/Datos!U18,(Datos!K18+Datos!AE18-(Datos!U18+Datos!AM18))/(Datos!U18+Datos!AM18))
     ),IF(D_I="SI",(Datos!K18-Datos!U18)/Datos!U18,(Datos!K18+Datos!AE18-(Datos!U18+Datos!AM18))/(Datos!U18+Datos!AM18))," - ")</f>
        <v>0.42549923195084488</v>
      </c>
      <c r="G18" s="359">
        <f>IF(ISNUMBER(
   IF(D_I="SI",(Datos!L18-Datos!V18)/Datos!V18,(Datos!L18+Datos!AF18-(Datos!V18+Datos!AN18))/(Datos!V18+Datos!AN18))
     ),IF(D_I="SI",(Datos!L18-Datos!V18)/Datos!V18,(Datos!L18+Datos!AF18-(Datos!V18+Datos!AN18))/(Datos!V18+Datos!AN18))," - ")</f>
        <v>-0.29390681003584229</v>
      </c>
      <c r="H18" s="235">
        <f>IF(ISNUMBER((Datos!M18-Datos!W18)/Datos!W18),(Datos!M18-Datos!W18)/Datos!W18," - ")</f>
        <v>0.25170068027210885</v>
      </c>
      <c r="I18" s="360">
        <f>IF(ISNUMBER((Tasas!C18-Datos!BE18)/Datos!BE18),(Tasas!C18-Datos!BE18)/Datos!BE18," - ")</f>
        <v>-0.50466954022988508</v>
      </c>
      <c r="J18" s="359">
        <f>IF(ISNUMBER((Tasas!D18-Datos!BF18)/Datos!BF18),(Tasas!D18-Datos!BF18)/Datos!BF18," - ")</f>
        <v>-0.1219211822660098</v>
      </c>
      <c r="K18" s="361">
        <f>IF(ISNUMBER((Tasas!E18-Datos!BG18)/Datos!BG18),(Tasas!E18-Datos!BG18)/Datos!BG18," - ")</f>
        <v>-0.23756631299734751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0.12170212765957447</v>
      </c>
      <c r="E20" s="364">
        <f>IF(ISNUMBER(
   IF(D_I="SI",(Datos!J20-Datos!T20)/Datos!T20,(Datos!J20+Datos!AD20-(Datos!T20+Datos!AL20))/(Datos!T20+Datos!AL20))
     ),IF(D_I="SI",(Datos!J20-Datos!T20)/Datos!T20,(Datos!J20+Datos!AD20-(Datos!T20+Datos!AL20))/(Datos!T20+Datos!AL20))," - ")</f>
        <v>6.951749371141093E-2</v>
      </c>
      <c r="F20" s="364">
        <f>IF(ISNUMBER(
   IF(D_I="SI",(Datos!K20-Datos!U20)/Datos!U20,(Datos!K20+Datos!AE20-(Datos!U20+Datos!AM20))/(Datos!U20+Datos!AM20))
     ),IF(D_I="SI",(Datos!K20-Datos!U20)/Datos!U20,(Datos!K20+Datos!AE20-(Datos!U20+Datos!AM20))/(Datos!U20+Datos!AM20))," - ")</f>
        <v>-7.9538904899135454E-3</v>
      </c>
      <c r="G20" s="365">
        <f>IF(ISNUMBER(
   IF(D_I="SI",(Datos!L20-Datos!V20)/Datos!V20,(Datos!L20+Datos!AF20-(Datos!V20+Datos!AN20))/(Datos!V20+Datos!AN20))
     ),IF(D_I="SI",(Datos!L20-Datos!V20)/Datos!V20,(Datos!L20+Datos!AF20-(Datos!V20+Datos!AN20))/(Datos!V20+Datos!AN20))," - ")</f>
        <v>0.28088701161562829</v>
      </c>
      <c r="H20" s="366">
        <f>IF(ISNUMBER((Datos!M20-Datos!W20)/Datos!W20),(Datos!M20-Datos!W20)/Datos!W20," - ")</f>
        <v>-0.22077922077922077</v>
      </c>
      <c r="I20" s="367">
        <f>IF(ISNUMBER((Tasas!C20-Datos!BE20)/Datos!BE20),(Tasas!C20-Datos!BE20)/Datos!BE20," - ")</f>
        <v>0.29115673085818905</v>
      </c>
      <c r="J20" s="365">
        <f>IF(ISNUMBER((Tasas!D20-Datos!BF20)/Datos!BF20),(Tasas!D20-Datos!BF20)/Datos!BF20," - ")</f>
        <v>-0.21453169187308163</v>
      </c>
      <c r="K20" s="368">
        <f>IF(ISNUMBER((Tasas!E20-Datos!BG20)/Datos!BG20),(Tasas!E20-Datos!BG20)/Datos!BG20," - ")</f>
        <v>9.320341024988904E-2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0.24724940938238271</v>
      </c>
      <c r="E21" s="373">
        <f>IF(ISNUMBER(
   IF(J_V="SI",(Datos!J21-Datos!T21)/Datos!T21,(Datos!J21+Datos!Z21-(Datos!T21+Datos!AH21))/(Datos!T21+Datos!AH21))
     ),IF(J_V="SI",(Datos!J21-Datos!T21)/Datos!T21,(Datos!J21+Datos!Z21-(Datos!T21+Datos!AH21))/(Datos!T21+Datos!AH21))," - ")</f>
        <v>1.0363768266141569E-2</v>
      </c>
      <c r="F21" s="373">
        <f>IF(ISNUMBER(
   IF(J_V="SI",(Datos!K21-Datos!U21)/Datos!U21,(Datos!K21+Datos!AA21-(Datos!U21+Datos!AI21))/(Datos!U21+Datos!AI21))
     ),IF(J_V="SI",(Datos!K21-Datos!U21)/Datos!U21,(Datos!K21+Datos!AA21-(Datos!U21+Datos!AI21))/(Datos!U21+Datos!AI21))," - ")</f>
        <v>-0.12273129703408588</v>
      </c>
      <c r="G21" s="374">
        <f>IF(ISNUMBER(
   IF(J_V="SI",(Datos!L21-Datos!V21)/Datos!V21,(Datos!L21+Datos!AB21-(Datos!V21+Datos!AJ21))/(Datos!V21+Datos!AJ21))
     ),IF(J_V="SI",(Datos!L21-Datos!V21)/Datos!V21,(Datos!L21+Datos!AB21-(Datos!V21+Datos!AJ21))/(Datos!V21+Datos!AJ21))," - ")</f>
        <v>0.36613808848028628</v>
      </c>
      <c r="H21" s="375">
        <f>IF(ISNUMBER((Datos!M21-Datos!W21)/Datos!W21),(Datos!M21-Datos!W21)/Datos!W21," - ")</f>
        <v>-0.23305785123966943</v>
      </c>
      <c r="I21" s="372">
        <f>IF(ISNUMBER((Tasas!C21-Datos!BE21)/Datos!BE21),(Tasas!C21-Datos!BE21)/Datos!BE21," - ")</f>
        <v>0.55726299577492955</v>
      </c>
      <c r="J21" s="373">
        <f>IF(ISNUMBER((Tasas!D21-Datos!BF21)/Datos!BF21),(Tasas!D21-Datos!BF21)/Datos!BF21," - ")</f>
        <v>-0.53750057416634023</v>
      </c>
      <c r="K21" s="374">
        <f>IF(ISNUMBER((Tasas!E21-Datos!BG21)/Datos!BG21),(Tasas!E21-Datos!BG21)/Datos!BG21," - ")</f>
        <v>0.2689855258137373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0.22978961008649421</v>
      </c>
      <c r="E23" s="283">
        <f t="shared" si="1"/>
        <v>6.7774928816083296E-2</v>
      </c>
      <c r="F23" s="283">
        <f t="shared" si="1"/>
        <v>0.3898794182841584</v>
      </c>
      <c r="G23" s="284">
        <f t="shared" si="1"/>
        <v>0.29731981049369305</v>
      </c>
      <c r="H23" s="290">
        <f t="shared" si="1"/>
        <v>0.26870755333363866</v>
      </c>
      <c r="I23" s="282">
        <f t="shared" si="1"/>
        <v>0.57074545858814141</v>
      </c>
      <c r="J23" s="283">
        <f t="shared" si="1"/>
        <v>0.21037836895107365</v>
      </c>
      <c r="K23" s="284">
        <f t="shared" si="1"/>
        <v>0.31298933246622668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jtoJjZKYFWiOBjgLJ/VxTSDnGpdsYPlnMe54xjVGz9qtOyavQ6rxYSBPPLW1G58nMrjZ8ozBTRSh7rSOptA2Ag==" saltValue="KrsIdhYx1W2TeH54s2Kyq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